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AlgorithmName="SHA-512" workbookHashValue="J1dWzjU6MpEc5ci18UgOaxFYmvBUjumy1a8BTJoDCFR5RiIgZnxZz9KVCNkW/WUqBSnqfTci3aAkIf2kiActQA==" workbookSaltValue="KAn7PSsk4jDvyQmYREAFUA==" workbookSpinCount="100000" lockStructure="1"/>
  <bookViews>
    <workbookView xWindow="0" yWindow="0" windowWidth="22260" windowHeight="12650"/>
  </bookViews>
  <sheets>
    <sheet name="Instructions" sheetId="5" r:id="rId1"/>
    <sheet name="P.A.Y.E. Calculator" sheetId="3" r:id="rId2"/>
    <sheet name="Employee Declaration Form" sheetId="6" r:id="rId3"/>
    <sheet name="Breakdown" sheetId="2" state="hidden" r:id="rId4"/>
    <sheet name="Tax Rate Table" sheetId="1" state="hidden" r:id="rId5"/>
    <sheet name="Additional Tables" sheetId="4" state="hidden" r:id="rId6"/>
  </sheets>
  <externalReferences>
    <externalReference r:id="rId7"/>
  </externalReferences>
  <definedNames>
    <definedName name="allowchild1">'P.A.Y.E. Calculator'!$C$52</definedName>
    <definedName name="allowchild2">'P.A.Y.E. Calculator'!$C$53</definedName>
    <definedName name="allowspouse">'P.A.Y.E. Calculator'!$C$49</definedName>
    <definedName name="annualcharity">'P.A.Y.E. Calculator'!$F$66</definedName>
    <definedName name="annualchildallowance1">'P.A.Y.E. Calculator'!$H$52</definedName>
    <definedName name="annualchildallowance2">'P.A.Y.E. Calculator'!$H$53</definedName>
    <definedName name="annualchildcode">'P.A.Y.E. Calculator'!$F$64</definedName>
    <definedName name="annualchildconvenant">'P.A.Y.E. Calculator'!#REF!</definedName>
    <definedName name="annualmaxrrsp">'P.A.Y.E. Calculator'!$I$55</definedName>
    <definedName name="annualspousecode">'P.A.Y.E. Calculator'!$F$63</definedName>
    <definedName name="averagefirstrate">Breakdown!$M$21</definedName>
    <definedName name="averagesecondrate">Breakdown!$N$21</definedName>
    <definedName name="averagethirdrate">Breakdown!$O$21</definedName>
    <definedName name="basicsalary">'P.A.Y.E. Calculator'!$C$32</definedName>
    <definedName name="basicsalarytest">'P.A.Y.E. Calculator'!$H$32</definedName>
    <definedName name="breakdownfrequency">Breakdown!$B$2</definedName>
    <definedName name="breakdownnetincome">Breakdown!$B$3</definedName>
    <definedName name="breakdownsalaryyear">Breakdown!$B$1</definedName>
    <definedName name="breakdowntax">Table3[[#Headers],[#Data],[Month]:[Tax ThirdRate]]</definedName>
    <definedName name="caldate" localSheetId="2">'[1]P.A.Y.E. Calculator'!$G$37</definedName>
    <definedName name="caldate" localSheetId="0">'[1]P.A.Y.E. Calculator'!$G$37</definedName>
    <definedName name="caldate">'P.A.Y.E. Calculator'!$H$7</definedName>
    <definedName name="calgo">'[1]P.A.Y.E. Calculator'!$G$39</definedName>
    <definedName name="calmaxyear">'P.A.Y.E. Calculator'!$H$5</definedName>
    <definedName name="calminyear">'P.A.Y.E. Calculator'!$H$6</definedName>
    <definedName name="calmonth">'P.A.Y.E. Calculator'!$C$30</definedName>
    <definedName name="charityamt">'P.A.Y.E. Calculator'!$C$56</definedName>
    <definedName name="charitydonationrate">'P.A.Y.E. Calculator'!$I$56</definedName>
    <definedName name="child1">'P.A.Y.E. Calculator'!$I$52</definedName>
    <definedName name="child2">'P.A.Y.E. Calculator'!$I$53</definedName>
    <definedName name="childallowance">'P.A.Y.E. Calculator'!$H$50</definedName>
    <definedName name="childallowanceamt">'P.A.Y.E. Calculator'!$I$50</definedName>
    <definedName name="convenantrate">'P.A.Y.E. Calculator'!#REF!</definedName>
    <definedName name="cperall">'[1]P.A.Y.E. Calculator'!$K$45</definedName>
    <definedName name="divide2">'P.A.Y.E. Calculator'!$J$49</definedName>
    <definedName name="enmonth">'[1]P.A.Y.E. Calculator'!$G$34</definedName>
    <definedName name="entertainment">'P.A.Y.E. Calculator'!$C$34</definedName>
    <definedName name="eoymonth">'[1]P.A.Y.E. Calculator'!$G$35</definedName>
    <definedName name="fband">'[1]P.A.Y.E. Calculator'!$K$49</definedName>
    <definedName name="formatcheck">'P.A.Y.E. Calculator'!$H$9</definedName>
    <definedName name="freqtest">'P.A.Y.E. Calculator'!$I$17</definedName>
    <definedName name="govemployee">'P.A.Y.E. Calculator'!#REF!</definedName>
    <definedName name="govemployeetest">'P.A.Y.E. Calculator'!#REF!</definedName>
    <definedName name="grosssalary">'P.A.Y.E. Calculator'!$F$39</definedName>
    <definedName name="housing">'P.A.Y.E. Calculator'!$C$35</definedName>
    <definedName name="individualconvenentamt">'P.A.Y.E. Calculator'!#REF!</definedName>
    <definedName name="maxcharity">'P.A.Y.E. Calculator'!$H$56</definedName>
    <definedName name="maxindividualconvenant">'P.A.Y.E. Calculator'!#REF!</definedName>
    <definedName name="maxrrsp">'P.A.Y.E. Calculator'!$H$55</definedName>
    <definedName name="mcmonth">'[1]P.A.Y.E. Calculator'!$G$36</definedName>
    <definedName name="miscallow">'P.A.Y.E. Calculator'!$C$38</definedName>
    <definedName name="netincome">'P.A.Y.E. Calculator'!$F$44</definedName>
    <definedName name="noofchildren">'P.A.Y.E. Calculator'!$D$50</definedName>
    <definedName name="OLE_LINK1" localSheetId="0">Instructions!$B$14</definedName>
    <definedName name="period">'[1]P.A.Y.E. Calculator'!$G$15</definedName>
    <definedName name="personalallowance">'P.A.Y.E. Calculator'!$I$46</definedName>
    <definedName name="personallowancecategory">'P.A.Y.E. Calculator'!$I$47</definedName>
    <definedName name="_xlnm.Print_Area" localSheetId="2">'Employee Declaration Form'!$A$1:$W$51</definedName>
    <definedName name="renumeration">'P.A.Y.E. Calculator'!$C$32:$C$38</definedName>
    <definedName name="rrsp">'P.A.Y.E. Calculator'!$C$55</definedName>
    <definedName name="rrspamt">'P.A.Y.E. Calculator'!$F$65</definedName>
    <definedName name="salary">'[1]P.A.Y.E. Calculator'!$G$16</definedName>
    <definedName name="salarymonth">'P.A.Y.E. Calculator'!$C$18:$F$29</definedName>
    <definedName name="salaryyear">'P.A.Y.E. Calculator'!$C$16</definedName>
    <definedName name="spouseallowance">'P.A.Y.E. Calculator'!$H$49</definedName>
    <definedName name="spouseallowanceamt">'P.A.Y.E. Calculator'!$I$49</definedName>
    <definedName name="taxcodecal">'[1]P.A.Y.E. Calculator'!#REF!</definedName>
    <definedName name="taxcodetest">'P.A.Y.E. Calculator'!$H$61</definedName>
    <definedName name="tincome">'[1]P.A.Y.E. Calculator'!$M$46</definedName>
    <definedName name="tmonfreq">'P.A.Y.E. Calculator'!$K$41</definedName>
    <definedName name="todaydate">'P.A.Y.E. Calculator'!$H$4</definedName>
    <definedName name="totalallowances">'P.A.Y.E. Calculator'!$C$57</definedName>
    <definedName name="totallowableexpenses">'P.A.Y.E. Calculator'!$F$43</definedName>
    <definedName name="travelcap">'P.A.Y.E. Calculator'!$I$41</definedName>
    <definedName name="travelcaprateamt">'P.A.Y.E. Calculator'!$J$41</definedName>
    <definedName name="travelling">'P.A.Y.E. Calculator'!$C$33</definedName>
    <definedName name="traveltest">'P.A.Y.E. Calculator'!$H$33</definedName>
    <definedName name="trtable">'[1]Tax Rates'!$A$6:$K$1048576</definedName>
    <definedName name="tryears">'[1]Tax Rates'!$A$6:$A$1048576</definedName>
    <definedName name="utilities">'P.A.Y.E. Calculator'!$C$37</definedName>
    <definedName name="vehicle">'P.A.Y.E. Calculator'!$C$36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1" i="3" l="1"/>
  <c r="B39" i="3"/>
  <c r="B32" i="3"/>
  <c r="B31" i="3"/>
  <c r="H4" i="3" l="1"/>
  <c r="H5" i="3" s="1"/>
  <c r="H6" i="3"/>
  <c r="H30" i="3"/>
  <c r="I29" i="3" l="1"/>
  <c r="E33" i="3" l="1"/>
  <c r="H38" i="3"/>
  <c r="M42" i="3"/>
  <c r="K30" i="3"/>
  <c r="M30" i="3" s="1"/>
  <c r="M17" i="3" l="1"/>
  <c r="M32" i="3"/>
  <c r="D61" i="3" l="1"/>
  <c r="J49" i="3"/>
  <c r="J17" i="3" l="1"/>
  <c r="F21" i="3" l="1"/>
  <c r="F22" i="3" s="1"/>
  <c r="F23" i="3" s="1"/>
  <c r="F24" i="3" s="1"/>
  <c r="H7" i="3" s="1"/>
  <c r="I41" i="3" s="1"/>
  <c r="B2" i="2"/>
  <c r="H37" i="3"/>
  <c r="H36" i="3"/>
  <c r="H35" i="3"/>
  <c r="H34" i="3"/>
  <c r="H33" i="3"/>
  <c r="F25" i="3" l="1"/>
  <c r="F26" i="3" s="1"/>
  <c r="F27" i="3" s="1"/>
  <c r="F28" i="3" s="1"/>
  <c r="F29" i="3" s="1"/>
  <c r="I46" i="3"/>
  <c r="I30" i="3"/>
  <c r="B7" i="2"/>
  <c r="B11" i="2"/>
  <c r="B15" i="2"/>
  <c r="B12" i="2"/>
  <c r="B16" i="2"/>
  <c r="B8" i="2"/>
  <c r="B9" i="2"/>
  <c r="B13" i="2"/>
  <c r="B17" i="2"/>
  <c r="B6" i="2"/>
  <c r="B10" i="2"/>
  <c r="B14" i="2"/>
  <c r="H32" i="3"/>
  <c r="H17" i="3"/>
  <c r="I55" i="3" l="1"/>
  <c r="F62" i="3"/>
  <c r="I49" i="3"/>
  <c r="C49" i="3" s="1"/>
  <c r="F63" i="3" s="1"/>
  <c r="I56" i="3"/>
  <c r="K56" i="3" s="1"/>
  <c r="I50" i="3"/>
  <c r="H53" i="3" s="1"/>
  <c r="C53" i="3" s="1"/>
  <c r="J41" i="3"/>
  <c r="B1" i="2"/>
  <c r="C41" i="3" l="1"/>
  <c r="H16" i="3"/>
  <c r="H9" i="3" s="1"/>
  <c r="H52" i="3"/>
  <c r="C52" i="3" s="1"/>
  <c r="F64" i="3" s="1"/>
  <c r="F65" i="3"/>
  <c r="H10" i="2" s="1"/>
  <c r="D66" i="3"/>
  <c r="H56" i="3"/>
  <c r="J56" i="3" s="1"/>
  <c r="E8" i="2"/>
  <c r="H55" i="3"/>
  <c r="D55" i="3" s="1"/>
  <c r="E16" i="2"/>
  <c r="E13" i="2"/>
  <c r="E15" i="2"/>
  <c r="E11" i="2"/>
  <c r="E14" i="2"/>
  <c r="E7" i="2"/>
  <c r="E9" i="2"/>
  <c r="E10" i="2"/>
  <c r="E17" i="2"/>
  <c r="E12" i="2"/>
  <c r="E6" i="2"/>
  <c r="F6" i="2"/>
  <c r="F10" i="2"/>
  <c r="F14" i="2"/>
  <c r="F16" i="2"/>
  <c r="F7" i="2"/>
  <c r="F11" i="2"/>
  <c r="F15" i="2"/>
  <c r="F9" i="2"/>
  <c r="F13" i="2"/>
  <c r="F17" i="2"/>
  <c r="F8" i="2"/>
  <c r="F12" i="2"/>
  <c r="C6" i="2"/>
  <c r="C10" i="2"/>
  <c r="C14" i="2"/>
  <c r="C7" i="2"/>
  <c r="C11" i="2"/>
  <c r="C15" i="2"/>
  <c r="C8" i="2"/>
  <c r="C12" i="2"/>
  <c r="C16" i="2"/>
  <c r="C9" i="2"/>
  <c r="C13" i="2"/>
  <c r="C17" i="2"/>
  <c r="M16" i="3" l="1"/>
  <c r="H11" i="2"/>
  <c r="H12" i="2"/>
  <c r="H13" i="2"/>
  <c r="H16" i="2"/>
  <c r="H15" i="2"/>
  <c r="H7" i="2"/>
  <c r="H9" i="2"/>
  <c r="H17" i="2"/>
  <c r="H14" i="2"/>
  <c r="H8" i="2"/>
  <c r="H6" i="2"/>
  <c r="F66" i="3"/>
  <c r="I17" i="2" s="1"/>
  <c r="E18" i="2"/>
  <c r="D56" i="3"/>
  <c r="F18" i="2"/>
  <c r="G6" i="2"/>
  <c r="G10" i="2"/>
  <c r="G14" i="2"/>
  <c r="G16" i="2"/>
  <c r="G7" i="2"/>
  <c r="G11" i="2"/>
  <c r="G15" i="2"/>
  <c r="G8" i="2"/>
  <c r="G9" i="2"/>
  <c r="G13" i="2"/>
  <c r="G17" i="2"/>
  <c r="G12" i="2"/>
  <c r="L17" i="2"/>
  <c r="O17" i="2"/>
  <c r="P17" i="2" s="1"/>
  <c r="N17" i="2"/>
  <c r="M17" i="2"/>
  <c r="K17" i="2"/>
  <c r="L7" i="2"/>
  <c r="O7" i="2"/>
  <c r="P7" i="2" s="1"/>
  <c r="N7" i="2"/>
  <c r="M7" i="2"/>
  <c r="K7" i="2"/>
  <c r="L9" i="2"/>
  <c r="O9" i="2"/>
  <c r="P9" i="2" s="1"/>
  <c r="N9" i="2"/>
  <c r="M9" i="2"/>
  <c r="K9" i="2"/>
  <c r="L15" i="2"/>
  <c r="O15" i="2"/>
  <c r="P15" i="2" s="1"/>
  <c r="N15" i="2"/>
  <c r="M15" i="2"/>
  <c r="K15" i="2"/>
  <c r="L10" i="2"/>
  <c r="O10" i="2"/>
  <c r="P10" i="2" s="1"/>
  <c r="N10" i="2"/>
  <c r="M10" i="2"/>
  <c r="K10" i="2"/>
  <c r="M12" i="2"/>
  <c r="L12" i="2"/>
  <c r="O12" i="2"/>
  <c r="P12" i="2" s="1"/>
  <c r="N12" i="2"/>
  <c r="K12" i="2"/>
  <c r="L13" i="2"/>
  <c r="O13" i="2"/>
  <c r="P13" i="2" s="1"/>
  <c r="N13" i="2"/>
  <c r="M13" i="2"/>
  <c r="K13" i="2"/>
  <c r="L8" i="2"/>
  <c r="O8" i="2"/>
  <c r="P8" i="2" s="1"/>
  <c r="N8" i="2"/>
  <c r="M8" i="2"/>
  <c r="K8" i="2"/>
  <c r="L14" i="2"/>
  <c r="O14" i="2"/>
  <c r="P14" i="2" s="1"/>
  <c r="N14" i="2"/>
  <c r="M14" i="2"/>
  <c r="K14" i="2"/>
  <c r="L16" i="2"/>
  <c r="O16" i="2"/>
  <c r="P16" i="2" s="1"/>
  <c r="N16" i="2"/>
  <c r="M16" i="2"/>
  <c r="K16" i="2"/>
  <c r="L11" i="2"/>
  <c r="O11" i="2"/>
  <c r="P11" i="2" s="1"/>
  <c r="N11" i="2"/>
  <c r="M11" i="2"/>
  <c r="K11" i="2"/>
  <c r="O6" i="2"/>
  <c r="N6" i="2"/>
  <c r="M6" i="2"/>
  <c r="K6" i="2"/>
  <c r="L6" i="2"/>
  <c r="P38" i="3" l="1"/>
  <c r="P37" i="3"/>
  <c r="P39" i="3"/>
  <c r="Q35" i="3"/>
  <c r="Q36" i="3"/>
  <c r="Q34" i="3"/>
  <c r="Q33" i="3"/>
  <c r="U34" i="3"/>
  <c r="U38" i="3"/>
  <c r="U36" i="3"/>
  <c r="U33" i="3"/>
  <c r="U35" i="3"/>
  <c r="T33" i="3"/>
  <c r="U37" i="3"/>
  <c r="P6" i="2"/>
  <c r="H18" i="2"/>
  <c r="M56" i="3"/>
  <c r="C47" i="3"/>
  <c r="C57" i="3" s="1"/>
  <c r="W17" i="3" s="1"/>
  <c r="M38" i="3"/>
  <c r="H39" i="3"/>
  <c r="F39" i="3" s="1"/>
  <c r="F43" i="3"/>
  <c r="F67" i="3"/>
  <c r="E61" i="3" s="1"/>
  <c r="G61" i="3" s="1"/>
  <c r="H61" i="3" s="1"/>
  <c r="B60" i="3" s="1"/>
  <c r="J17" i="2"/>
  <c r="I9" i="2"/>
  <c r="I10" i="2"/>
  <c r="I14" i="2"/>
  <c r="I11" i="2"/>
  <c r="I12" i="2"/>
  <c r="J12" i="2" s="1"/>
  <c r="I13" i="2"/>
  <c r="I16" i="2"/>
  <c r="I15" i="2"/>
  <c r="I7" i="2"/>
  <c r="I6" i="2"/>
  <c r="I8" i="2"/>
  <c r="M55" i="3"/>
  <c r="M34" i="3"/>
  <c r="M37" i="3"/>
  <c r="M36" i="3"/>
  <c r="M35" i="3"/>
  <c r="M33" i="3"/>
  <c r="G18" i="2"/>
  <c r="L18" i="2"/>
  <c r="K18" i="2"/>
  <c r="J14" i="2" l="1"/>
  <c r="J13" i="2"/>
  <c r="J6" i="2"/>
  <c r="J15" i="2"/>
  <c r="J8" i="2"/>
  <c r="J11" i="2"/>
  <c r="J9" i="2"/>
  <c r="J7" i="2"/>
  <c r="J10" i="2"/>
  <c r="J16" i="2"/>
  <c r="I18" i="2"/>
  <c r="F44" i="3"/>
  <c r="W16" i="3" s="1"/>
  <c r="W30" i="3" s="1"/>
  <c r="J18" i="2" l="1"/>
  <c r="B3" i="2"/>
  <c r="D6" i="2" s="1"/>
  <c r="Q6" i="2" s="1"/>
  <c r="U6" i="2" l="1"/>
  <c r="V6" i="2" s="1"/>
  <c r="R6" i="2"/>
  <c r="P35" i="3" s="1"/>
  <c r="D11" i="2"/>
  <c r="Q11" i="2" s="1"/>
  <c r="D12" i="2"/>
  <c r="Q12" i="2" s="1"/>
  <c r="D15" i="2"/>
  <c r="Q15" i="2" s="1"/>
  <c r="D14" i="2"/>
  <c r="Q14" i="2" s="1"/>
  <c r="D13" i="2"/>
  <c r="Q13" i="2" s="1"/>
  <c r="D9" i="2"/>
  <c r="Q9" i="2" s="1"/>
  <c r="D10" i="2"/>
  <c r="Q10" i="2" s="1"/>
  <c r="D16" i="2"/>
  <c r="Q16" i="2" s="1"/>
  <c r="D7" i="2"/>
  <c r="Q7" i="2" s="1"/>
  <c r="D17" i="2"/>
  <c r="Q17" i="2" s="1"/>
  <c r="D8" i="2"/>
  <c r="Q8" i="2" s="1"/>
  <c r="Y6" i="2" l="1"/>
  <c r="U17" i="2"/>
  <c r="V17" i="2" s="1"/>
  <c r="Y17" i="2" s="1"/>
  <c r="R17" i="2"/>
  <c r="U7" i="2"/>
  <c r="V7" i="2" s="1"/>
  <c r="Y7" i="2" s="1"/>
  <c r="R7" i="2"/>
  <c r="W7" i="2" s="1"/>
  <c r="U11" i="2"/>
  <c r="V11" i="2" s="1"/>
  <c r="R11" i="2"/>
  <c r="U16" i="2"/>
  <c r="V16" i="2" s="1"/>
  <c r="Y16" i="2" s="1"/>
  <c r="R16" i="2"/>
  <c r="W16" i="2" s="1"/>
  <c r="U14" i="2"/>
  <c r="V14" i="2" s="1"/>
  <c r="Y14" i="2" s="1"/>
  <c r="R14" i="2"/>
  <c r="W14" i="2" s="1"/>
  <c r="U9" i="2"/>
  <c r="V9" i="2" s="1"/>
  <c r="Y9" i="2" s="1"/>
  <c r="R9" i="2"/>
  <c r="W9" i="2" s="1"/>
  <c r="U13" i="2"/>
  <c r="V13" i="2" s="1"/>
  <c r="R13" i="2"/>
  <c r="U8" i="2"/>
  <c r="V8" i="2" s="1"/>
  <c r="Y8" i="2" s="1"/>
  <c r="R8" i="2"/>
  <c r="W8" i="2" s="1"/>
  <c r="U10" i="2"/>
  <c r="V10" i="2" s="1"/>
  <c r="Y10" i="2" s="1"/>
  <c r="R10" i="2"/>
  <c r="S10" i="2" s="1"/>
  <c r="T10" i="2" s="1"/>
  <c r="X10" i="2" s="1"/>
  <c r="U15" i="2"/>
  <c r="V15" i="2" s="1"/>
  <c r="Y15" i="2" s="1"/>
  <c r="R15" i="2"/>
  <c r="S15" i="2" s="1"/>
  <c r="T15" i="2" s="1"/>
  <c r="X15" i="2" s="1"/>
  <c r="U12" i="2"/>
  <c r="V12" i="2" s="1"/>
  <c r="Y12" i="2" s="1"/>
  <c r="R12" i="2"/>
  <c r="W6" i="2"/>
  <c r="D18" i="2"/>
  <c r="Q18" i="2"/>
  <c r="S6" i="2"/>
  <c r="Y13" i="2" l="1"/>
  <c r="U39" i="3"/>
  <c r="U40" i="3" s="1"/>
  <c r="P36" i="3"/>
  <c r="O36" i="3" s="1"/>
  <c r="W17" i="2"/>
  <c r="O35" i="3"/>
  <c r="P33" i="3"/>
  <c r="Y11" i="2"/>
  <c r="P34" i="3"/>
  <c r="S12" i="2"/>
  <c r="T12" i="2" s="1"/>
  <c r="X12" i="2" s="1"/>
  <c r="V18" i="2"/>
  <c r="S11" i="2"/>
  <c r="T11" i="2" s="1"/>
  <c r="W13" i="2"/>
  <c r="S14" i="2"/>
  <c r="T14" i="2" s="1"/>
  <c r="X14" i="2" s="1"/>
  <c r="W11" i="2"/>
  <c r="S13" i="2"/>
  <c r="T13" i="2" s="1"/>
  <c r="S9" i="2"/>
  <c r="T9" i="2" s="1"/>
  <c r="X9" i="2" s="1"/>
  <c r="W15" i="2"/>
  <c r="W12" i="2"/>
  <c r="S8" i="2"/>
  <c r="T8" i="2" s="1"/>
  <c r="X8" i="2" s="1"/>
  <c r="W10" i="2"/>
  <c r="S7" i="2"/>
  <c r="T7" i="2" s="1"/>
  <c r="X7" i="2" s="1"/>
  <c r="R18" i="2"/>
  <c r="S17" i="2"/>
  <c r="T17" i="2" s="1"/>
  <c r="S16" i="2"/>
  <c r="T16" i="2" s="1"/>
  <c r="T6" i="2"/>
  <c r="P40" i="3" l="1"/>
  <c r="Y18" i="2"/>
  <c r="Q37" i="3"/>
  <c r="W36" i="3"/>
  <c r="N36" i="3"/>
  <c r="X17" i="2"/>
  <c r="Q39" i="3"/>
  <c r="O39" i="3" s="1"/>
  <c r="W35" i="3"/>
  <c r="N35" i="3"/>
  <c r="Q38" i="3"/>
  <c r="O34" i="3"/>
  <c r="X11" i="2"/>
  <c r="X13" i="2"/>
  <c r="X16" i="2"/>
  <c r="W18" i="2"/>
  <c r="T18" i="2"/>
  <c r="X6" i="2"/>
  <c r="Q40" i="3" l="1"/>
  <c r="W34" i="3"/>
  <c r="W39" i="3"/>
  <c r="N39" i="3"/>
  <c r="N34" i="3"/>
  <c r="O37" i="3"/>
  <c r="X18" i="2"/>
  <c r="W37" i="3" l="1"/>
  <c r="N37" i="3"/>
  <c r="O38" i="3"/>
  <c r="W38" i="3" s="1"/>
  <c r="N38" i="3" l="1"/>
  <c r="O33" i="3"/>
  <c r="N33" i="3" l="1"/>
  <c r="O40" i="3"/>
  <c r="W33" i="3"/>
  <c r="W40" i="3" s="1"/>
</calcChain>
</file>

<file path=xl/sharedStrings.xml><?xml version="1.0" encoding="utf-8"?>
<sst xmlns="http://schemas.openxmlformats.org/spreadsheetml/2006/main" count="179" uniqueCount="142">
  <si>
    <t>Tax Bands</t>
  </si>
  <si>
    <t>Tax Rates</t>
  </si>
  <si>
    <t>Allowances</t>
  </si>
  <si>
    <t>Covenants</t>
  </si>
  <si>
    <t>Date</t>
  </si>
  <si>
    <t>FirstBand</t>
  </si>
  <si>
    <t>SecondBand</t>
  </si>
  <si>
    <t>FirstRate</t>
  </si>
  <si>
    <t>SecondRate</t>
  </si>
  <si>
    <t>ThirdRate</t>
  </si>
  <si>
    <t>Personal</t>
  </si>
  <si>
    <t>Spouse</t>
  </si>
  <si>
    <t>Child</t>
  </si>
  <si>
    <t>Pensioner</t>
  </si>
  <si>
    <t>RRSP</t>
  </si>
  <si>
    <t>Convenants</t>
  </si>
  <si>
    <t>Count</t>
  </si>
  <si>
    <t>Month</t>
  </si>
  <si>
    <t>Salary Year</t>
  </si>
  <si>
    <t>Year</t>
  </si>
  <si>
    <t>Select</t>
  </si>
  <si>
    <t>Monthly</t>
  </si>
  <si>
    <t xml:space="preserve">Daily </t>
  </si>
  <si>
    <t>Weekly</t>
  </si>
  <si>
    <t>Annual</t>
  </si>
  <si>
    <t>Frequency</t>
  </si>
  <si>
    <t>TEST</t>
  </si>
  <si>
    <t>Today's Date</t>
  </si>
  <si>
    <t>Max</t>
  </si>
  <si>
    <t>Min</t>
  </si>
  <si>
    <t>Format Test</t>
  </si>
  <si>
    <t>January</t>
  </si>
  <si>
    <t>February</t>
  </si>
  <si>
    <t>March</t>
  </si>
  <si>
    <t>April</t>
  </si>
  <si>
    <t>May</t>
  </si>
  <si>
    <t>June</t>
  </si>
  <si>
    <t>July</t>
  </si>
  <si>
    <t>August</t>
  </si>
  <si>
    <t>September</t>
  </si>
  <si>
    <t>October</t>
  </si>
  <si>
    <t>November</t>
  </si>
  <si>
    <t>December</t>
  </si>
  <si>
    <t>Travelling</t>
  </si>
  <si>
    <t>Entertainment</t>
  </si>
  <si>
    <t xml:space="preserve">Housing </t>
  </si>
  <si>
    <t>Vehicle</t>
  </si>
  <si>
    <t>Utilities</t>
  </si>
  <si>
    <t xml:space="preserve"> Salary</t>
  </si>
  <si>
    <t>No</t>
  </si>
  <si>
    <t>Other</t>
  </si>
  <si>
    <t>Total Allowable Expenses</t>
  </si>
  <si>
    <t>Personal Allowance</t>
  </si>
  <si>
    <t>Cal Date</t>
  </si>
  <si>
    <t>Yes</t>
  </si>
  <si>
    <t>Travel Cap</t>
  </si>
  <si>
    <t>Do you fully Support</t>
  </si>
  <si>
    <t>Exempt Charities</t>
  </si>
  <si>
    <t>Housing Max</t>
  </si>
  <si>
    <t>Divide</t>
  </si>
  <si>
    <t>Bi-Weekly</t>
  </si>
  <si>
    <t>Divide By</t>
  </si>
  <si>
    <t>Net Income</t>
  </si>
  <si>
    <t>Salary @ Second Rate</t>
  </si>
  <si>
    <t>Salary @ First Rate</t>
  </si>
  <si>
    <t>Salary @ Third Rate</t>
  </si>
  <si>
    <t>Taxable Amount</t>
  </si>
  <si>
    <t>ChildAllowance</t>
  </si>
  <si>
    <t>TotalAllowance</t>
  </si>
  <si>
    <t>SpouseAllowance</t>
  </si>
  <si>
    <t>Donations</t>
  </si>
  <si>
    <t>Total</t>
  </si>
  <si>
    <t>ThirdRate??</t>
  </si>
  <si>
    <t>ThirdBandTest</t>
  </si>
  <si>
    <t>SecondBandTest</t>
  </si>
  <si>
    <t>Tax FirstRate</t>
  </si>
  <si>
    <t>Tax SecondRate</t>
  </si>
  <si>
    <t>Tax ThirdRate</t>
  </si>
  <si>
    <t>Travel Cap rate</t>
  </si>
  <si>
    <t>Benefits not Taxed</t>
  </si>
  <si>
    <t>Enter Information Here</t>
  </si>
  <si>
    <t>Total Allowances</t>
  </si>
  <si>
    <t>Amounts</t>
  </si>
  <si>
    <t xml:space="preserve">Personal </t>
  </si>
  <si>
    <t>Total Allowance</t>
  </si>
  <si>
    <t>Other Allowances</t>
  </si>
  <si>
    <t>Divide2</t>
  </si>
  <si>
    <t>Maximum Per Annum</t>
  </si>
  <si>
    <t>Coce Letter</t>
  </si>
  <si>
    <t>W</t>
  </si>
  <si>
    <t>M</t>
  </si>
  <si>
    <t>P.A.Y.E. Calculation Details</t>
  </si>
  <si>
    <t>Taxable Income</t>
  </si>
  <si>
    <t xml:space="preserve">PAYE </t>
  </si>
  <si>
    <t>Net income</t>
  </si>
  <si>
    <t>Total Taxes</t>
  </si>
  <si>
    <t>Enter salary details below</t>
  </si>
  <si>
    <t>This calculator is not a substitute for the Income Tax Act Cap 73</t>
  </si>
  <si>
    <t>In cases of conflict the Income Tax Act takes precedence</t>
  </si>
  <si>
    <t>Salary Frequency</t>
  </si>
  <si>
    <t>No.</t>
  </si>
  <si>
    <t>First</t>
  </si>
  <si>
    <t>Second</t>
  </si>
  <si>
    <t>Third</t>
  </si>
  <si>
    <t>Rate</t>
  </si>
  <si>
    <t>D</t>
  </si>
  <si>
    <t>TotalSalary</t>
  </si>
  <si>
    <t>Instructions</t>
  </si>
  <si>
    <t xml:space="preserve">When computing P.A.Y.E for employees using the P.A.Y.E calculator, employers are asked to follow the steps outlined below: </t>
  </si>
  <si>
    <t>Enter the income year for which P.A.Y.E is being calculated, e.g. 2019.</t>
  </si>
  <si>
    <t>Select the salary frequency from the drop down list e.g. monthly.</t>
  </si>
  <si>
    <r>
      <t xml:space="preserve">Enter the month for which P.A.Y.E is being calculated.  If calculating the annual P.A.Y.E, </t>
    </r>
    <r>
      <rPr>
        <b/>
        <u/>
        <sz val="14"/>
        <color rgb="FF000000"/>
        <rFont val="Calibri"/>
        <family val="2"/>
        <scheme val="minor"/>
      </rPr>
      <t>DO NOT</t>
    </r>
    <r>
      <rPr>
        <sz val="14"/>
        <color rgb="FF000000"/>
        <rFont val="Calibri"/>
        <family val="2"/>
        <scheme val="minor"/>
      </rPr>
      <t xml:space="preserve"> enter a month. </t>
    </r>
  </si>
  <si>
    <t xml:space="preserve">Enter the salary/wage, allowances and benefits where applicable.  </t>
  </si>
  <si>
    <t>1.</t>
  </si>
  <si>
    <t>2.</t>
  </si>
  <si>
    <t>3.</t>
  </si>
  <si>
    <t>4.</t>
  </si>
  <si>
    <t>5.</t>
  </si>
  <si>
    <r>
      <t>The option “</t>
    </r>
    <r>
      <rPr>
        <b/>
        <i/>
        <sz val="14"/>
        <color theme="1"/>
        <rFont val="Calibri"/>
        <family val="2"/>
        <scheme val="minor"/>
      </rPr>
      <t>None</t>
    </r>
    <r>
      <rPr>
        <sz val="14"/>
        <color theme="1"/>
        <rFont val="Calibri"/>
        <family val="2"/>
        <scheme val="minor"/>
      </rPr>
      <t xml:space="preserve">” should </t>
    </r>
    <r>
      <rPr>
        <b/>
        <u/>
        <sz val="14"/>
        <color theme="1"/>
        <rFont val="Calibri"/>
        <family val="2"/>
        <scheme val="minor"/>
      </rPr>
      <t>ONLY</t>
    </r>
    <r>
      <rPr>
        <sz val="14"/>
        <color theme="1"/>
        <rFont val="Calibri"/>
        <family val="2"/>
        <scheme val="minor"/>
      </rPr>
      <t xml:space="preserve"> be selected if you are </t>
    </r>
    <r>
      <rPr>
        <b/>
        <u/>
        <sz val="14"/>
        <color theme="1"/>
        <rFont val="Calibri"/>
        <family val="2"/>
        <scheme val="minor"/>
      </rPr>
      <t>NOT</t>
    </r>
    <r>
      <rPr>
        <sz val="14"/>
        <color theme="1"/>
        <rFont val="Calibri"/>
        <family val="2"/>
        <scheme val="minor"/>
      </rPr>
      <t xml:space="preserve"> the main employer</t>
    </r>
  </si>
  <si>
    <r>
      <t>For individuals with a personal allowance of $25,000, the option “</t>
    </r>
    <r>
      <rPr>
        <b/>
        <i/>
        <sz val="14"/>
        <color rgb="FF000000"/>
        <rFont val="Calibri"/>
        <family val="2"/>
        <scheme val="minor"/>
      </rPr>
      <t>Individual</t>
    </r>
    <r>
      <rPr>
        <b/>
        <sz val="14"/>
        <color rgb="FF000000"/>
        <rFont val="Calibri"/>
        <family val="2"/>
        <scheme val="minor"/>
      </rPr>
      <t>”</t>
    </r>
    <r>
      <rPr>
        <sz val="14"/>
        <color rgb="FF000000"/>
        <rFont val="Calibri"/>
        <family val="2"/>
        <scheme val="minor"/>
      </rPr>
      <t xml:space="preserve"> should be selected.</t>
    </r>
  </si>
  <si>
    <r>
      <t>For Pensioners 60 years or over, who are in receipt of pension income the “</t>
    </r>
    <r>
      <rPr>
        <b/>
        <i/>
        <sz val="14"/>
        <color rgb="FF000000"/>
        <rFont val="Calibri"/>
        <family val="2"/>
        <scheme val="minor"/>
      </rPr>
      <t>Pensioner</t>
    </r>
    <r>
      <rPr>
        <sz val="14"/>
        <color rgb="FF000000"/>
        <rFont val="Calibri"/>
        <family val="2"/>
        <scheme val="minor"/>
      </rPr>
      <t xml:space="preserve">” option should be selected for the $40,000 personal allowance.  </t>
    </r>
  </si>
  <si>
    <t>a)</t>
  </si>
  <si>
    <t>b)</t>
  </si>
  <si>
    <t>c)</t>
  </si>
  <si>
    <r>
      <t>For Individuals with spousal allowance of $3,000 the option “</t>
    </r>
    <r>
      <rPr>
        <b/>
        <i/>
        <sz val="14"/>
        <color rgb="FF000000"/>
        <rFont val="Calibri"/>
        <family val="2"/>
        <scheme val="minor"/>
      </rPr>
      <t>Spouse</t>
    </r>
    <r>
      <rPr>
        <sz val="14"/>
        <color rgb="FF000000"/>
        <rFont val="Calibri"/>
        <family val="2"/>
        <scheme val="minor"/>
      </rPr>
      <t>” should be selected.</t>
    </r>
  </si>
  <si>
    <t>6.</t>
  </si>
  <si>
    <t>7.</t>
  </si>
  <si>
    <t>8.</t>
  </si>
  <si>
    <t>9.</t>
  </si>
  <si>
    <t>Misc Allowances &amp; Benefits</t>
  </si>
  <si>
    <t>Child 1</t>
  </si>
  <si>
    <t>Child 2</t>
  </si>
  <si>
    <t>Donations to Charities</t>
  </si>
  <si>
    <t>Pay as you Earn (P.A.Y.E.) Calculator</t>
  </si>
  <si>
    <t>Pay As You Earn (P.A.Y.E.) Calculator</t>
  </si>
  <si>
    <t>Assessable Income</t>
  </si>
  <si>
    <r>
      <t xml:space="preserve">Will </t>
    </r>
    <r>
      <rPr>
        <i/>
        <u/>
        <sz val="11"/>
        <color theme="0"/>
        <rFont val="Calibri"/>
        <family val="2"/>
        <scheme val="minor"/>
      </rPr>
      <t>NOT</t>
    </r>
    <r>
      <rPr>
        <i/>
        <sz val="11"/>
        <color theme="0"/>
        <rFont val="Calibri"/>
        <family val="2"/>
        <scheme val="minor"/>
      </rPr>
      <t xml:space="preserve"> apply to income year 2019 and subsequent years</t>
    </r>
  </si>
  <si>
    <r>
      <t>For Individuals with child allowance the option “</t>
    </r>
    <r>
      <rPr>
        <b/>
        <i/>
        <sz val="14"/>
        <color rgb="FF000000"/>
        <rFont val="Calibri"/>
        <family val="2"/>
        <scheme val="minor"/>
      </rPr>
      <t>Child</t>
    </r>
    <r>
      <rPr>
        <sz val="14"/>
        <color rgb="FF000000"/>
        <rFont val="Calibri"/>
        <family val="2"/>
        <scheme val="minor"/>
      </rPr>
      <t>” should be selected.  Individuals claiming one (1) child should select option “</t>
    </r>
    <r>
      <rPr>
        <b/>
        <sz val="14"/>
        <color rgb="FF000000"/>
        <rFont val="Calibri"/>
        <family val="2"/>
        <scheme val="minor"/>
      </rPr>
      <t>1</t>
    </r>
    <r>
      <rPr>
        <sz val="14"/>
        <color rgb="FF000000"/>
        <rFont val="Calibri"/>
        <family val="2"/>
        <scheme val="minor"/>
      </rPr>
      <t>”, while individuals claiming two (2) children should select option “</t>
    </r>
    <r>
      <rPr>
        <b/>
        <sz val="14"/>
        <color rgb="FF000000"/>
        <rFont val="Calibri"/>
        <family val="2"/>
        <scheme val="minor"/>
      </rPr>
      <t>2</t>
    </r>
    <r>
      <rPr>
        <sz val="14"/>
        <color rgb="FF000000"/>
        <rFont val="Calibri"/>
        <family val="2"/>
        <scheme val="minor"/>
      </rPr>
      <t xml:space="preserve">”. </t>
    </r>
    <r>
      <rPr>
        <b/>
        <i/>
        <sz val="14"/>
        <color rgb="FF000000"/>
        <rFont val="Calibri"/>
        <family val="2"/>
        <scheme val="minor"/>
      </rPr>
      <t xml:space="preserve">N.B. This will apply when filing income tax returns for income years 2013 through to 2018. </t>
    </r>
  </si>
  <si>
    <r>
      <t>For individuals claiming the full child allowance of $1,000, the option “</t>
    </r>
    <r>
      <rPr>
        <b/>
        <i/>
        <sz val="14"/>
        <color rgb="FF000000"/>
        <rFont val="Calibri"/>
        <family val="2"/>
        <scheme val="minor"/>
      </rPr>
      <t>Yes</t>
    </r>
    <r>
      <rPr>
        <sz val="14"/>
        <color rgb="FF000000"/>
        <rFont val="Calibri"/>
        <family val="2"/>
        <scheme val="minor"/>
      </rPr>
      <t>” should be selected, otherwise “</t>
    </r>
    <r>
      <rPr>
        <b/>
        <i/>
        <sz val="14"/>
        <color rgb="FF000000"/>
        <rFont val="Calibri"/>
        <family val="2"/>
        <scheme val="minor"/>
      </rPr>
      <t>No</t>
    </r>
    <r>
      <rPr>
        <sz val="14"/>
        <color rgb="FF000000"/>
        <rFont val="Calibri"/>
        <family val="2"/>
        <scheme val="minor"/>
      </rPr>
      <t xml:space="preserve">” should be selected.  </t>
    </r>
    <r>
      <rPr>
        <b/>
        <i/>
        <sz val="14"/>
        <color rgb="FF000000"/>
        <rFont val="Calibri"/>
        <family val="2"/>
        <scheme val="minor"/>
      </rPr>
      <t xml:space="preserve">N.B. This will apply when filing income tax returns for income years 2013 through to 2018. The child allowance will </t>
    </r>
    <r>
      <rPr>
        <b/>
        <i/>
        <u/>
        <sz val="14"/>
        <color rgb="FF000000"/>
        <rFont val="Calibri"/>
        <family val="2"/>
        <scheme val="minor"/>
      </rPr>
      <t>NOT</t>
    </r>
    <r>
      <rPr>
        <b/>
        <i/>
        <sz val="14"/>
        <color rgb="FF000000"/>
        <rFont val="Calibri"/>
        <family val="2"/>
        <scheme val="minor"/>
      </rPr>
      <t xml:space="preserve"> apply to income year 2019 and subsequent income years.</t>
    </r>
  </si>
  <si>
    <r>
      <t>For individuals with donations to charities, e.g. churches, the amount should be entered at “</t>
    </r>
    <r>
      <rPr>
        <b/>
        <i/>
        <sz val="14"/>
        <color rgb="FF000000"/>
        <rFont val="Calibri"/>
        <family val="2"/>
        <scheme val="minor"/>
      </rPr>
      <t>Donations to Charities</t>
    </r>
    <r>
      <rPr>
        <sz val="14"/>
        <color rgb="FF000000"/>
        <rFont val="Calibri"/>
        <family val="2"/>
        <scheme val="minor"/>
      </rPr>
      <t>”.</t>
    </r>
  </si>
  <si>
    <t>The P.A.Y.E calculator allows you to calculate PAYE for the income years 2013 to 2020 and the information obtained may be used for AUDIT and REFERENCE purposes ONLY.  P.A.Y.E. calculations are done at the prescribed rates and allowances, at the time the emoluments are paid. The allowances should be entered as per the Employee Declaration Form.  Where the tax rates change during an income year and the salary/wages fluctuates, the average salary/wage should be calculated separately and then extrapolated for the entire year.</t>
  </si>
  <si>
    <r>
      <t>Under the “</t>
    </r>
    <r>
      <rPr>
        <b/>
        <i/>
        <sz val="14"/>
        <color rgb="FF000000"/>
        <rFont val="Calibri"/>
        <family val="2"/>
        <scheme val="minor"/>
      </rPr>
      <t>Personal Allowance</t>
    </r>
    <r>
      <rPr>
        <sz val="14"/>
        <color rgb="FF000000"/>
        <rFont val="Calibri"/>
        <family val="2"/>
        <scheme val="minor"/>
      </rPr>
      <t>” heading the following will apply:</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</si>
</sst>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164" formatCode="[$-2409]mmm\ dd\,\ yyyy;@"/>
    <numFmt numFmtId="165" formatCode="_-[$$-409]* #,##0.00_ ;_-[$$-409]* \-#,##0.00\ ;_-[$$-409]* &quot;-&quot;??_ ;_-@_ "/>
    <numFmt numFmtId="166" formatCode="0.0%"/>
    <numFmt numFmtId="167" formatCode="#,##0.00_ ;\-#,##0.00\ "/>
    <numFmt numFmtId="168" formatCode="#,##0.00000000000"/>
  </numFmts>
  <fonts count="33"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1"/>
      <name val="Calibri"/>
      <family val="2"/>
      <scheme val="minor"/>
    </font>
    <font>
      <i/>
      <sz val="11"/>
      <color theme="1"/>
      <name val="Calibri"/>
      <family val="2"/>
      <scheme val="minor"/>
    </font>
    <font>
      <sz val="8"/>
      <color rgb="FF000000"/>
      <name val="Segoe UI"/>
      <family val="2"/>
    </font>
    <font>
      <i/>
      <sz val="9"/>
      <color theme="1"/>
      <name val="Calibri"/>
      <family val="2"/>
      <scheme val="minor"/>
    </font>
    <font>
      <b/>
      <sz val="12"/>
      <color theme="1"/>
      <name val="Calibri"/>
      <family val="2"/>
      <scheme val="minor"/>
    </font>
    <font>
      <b/>
      <i/>
      <sz val="11"/>
      <color theme="1"/>
      <name val="Calibri"/>
      <family val="2"/>
      <scheme val="minor"/>
    </font>
    <font>
      <sz val="11"/>
      <color theme="0"/>
      <name val="Calibri"/>
      <family val="2"/>
      <scheme val="minor"/>
    </font>
    <font>
      <i/>
      <sz val="11"/>
      <color theme="0"/>
      <name val="Calibri"/>
      <family val="2"/>
      <scheme val="minor"/>
    </font>
    <font>
      <b/>
      <sz val="12"/>
      <color theme="0"/>
      <name val="Calibri"/>
      <family val="2"/>
      <scheme val="minor"/>
    </font>
    <font>
      <b/>
      <sz val="12"/>
      <color theme="9" tint="0.79998168889431442"/>
      <name val="Calibri"/>
      <family val="2"/>
      <scheme val="minor"/>
    </font>
    <font>
      <sz val="14"/>
      <color theme="1"/>
      <name val="Calibri"/>
      <family val="2"/>
      <scheme val="minor"/>
    </font>
    <font>
      <b/>
      <i/>
      <sz val="14"/>
      <color theme="1"/>
      <name val="Calibri"/>
      <family val="2"/>
      <scheme val="minor"/>
    </font>
    <font>
      <b/>
      <sz val="11"/>
      <color rgb="FFFFFF00"/>
      <name val="Calibri"/>
      <family val="2"/>
      <scheme val="minor"/>
    </font>
    <font>
      <sz val="22"/>
      <color rgb="FFFF0000"/>
      <name val="Calibri"/>
      <family val="2"/>
      <scheme val="minor"/>
    </font>
    <font>
      <sz val="11"/>
      <name val="Calibri"/>
      <family val="2"/>
      <scheme val="minor"/>
    </font>
    <font>
      <i/>
      <sz val="72"/>
      <color rgb="FFFFFF00"/>
      <name val="Calibri"/>
      <family val="2"/>
      <scheme val="minor"/>
    </font>
    <font>
      <i/>
      <sz val="11"/>
      <name val="Calibri"/>
      <family val="2"/>
      <scheme val="minor"/>
    </font>
    <font>
      <b/>
      <sz val="14"/>
      <color theme="1"/>
      <name val="Calibri"/>
      <family val="2"/>
      <scheme val="minor"/>
    </font>
    <font>
      <sz val="14"/>
      <color rgb="FF000000"/>
      <name val="Calibri"/>
      <family val="2"/>
      <scheme val="minor"/>
    </font>
    <font>
      <b/>
      <sz val="14"/>
      <color rgb="FF000000"/>
      <name val="Calibri"/>
      <family val="2"/>
      <scheme val="minor"/>
    </font>
    <font>
      <b/>
      <u/>
      <sz val="14"/>
      <color rgb="FF000000"/>
      <name val="Calibri"/>
      <family val="2"/>
      <scheme val="minor"/>
    </font>
    <font>
      <b/>
      <i/>
      <sz val="14"/>
      <color rgb="FF000000"/>
      <name val="Calibri"/>
      <family val="2"/>
      <scheme val="minor"/>
    </font>
    <font>
      <b/>
      <u/>
      <sz val="14"/>
      <color theme="1"/>
      <name val="Calibri"/>
      <family val="2"/>
      <scheme val="minor"/>
    </font>
    <font>
      <b/>
      <sz val="18"/>
      <color rgb="FF000F99"/>
      <name val="Calibri"/>
      <family val="2"/>
      <scheme val="minor"/>
    </font>
    <font>
      <b/>
      <sz val="20"/>
      <color rgb="FF006600"/>
      <name val="Calibri"/>
      <family val="2"/>
      <scheme val="minor"/>
    </font>
    <font>
      <i/>
      <u/>
      <sz val="11"/>
      <color theme="0"/>
      <name val="Calibri"/>
      <family val="2"/>
      <scheme val="minor"/>
    </font>
    <font>
      <b/>
      <sz val="18"/>
      <color theme="0"/>
      <name val="Nirmala UI"/>
      <family val="2"/>
    </font>
    <font>
      <b/>
      <i/>
      <u/>
      <sz val="14"/>
      <color rgb="FF000000"/>
      <name val="Calibri"/>
      <family val="2"/>
      <scheme val="minor"/>
    </font>
  </fonts>
  <fills count="17">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CCCC"/>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7" tint="-0.499984740745262"/>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7" tint="0.79998168889431442"/>
        <bgColor indexed="64"/>
      </patternFill>
    </fill>
  </fills>
  <borders count="17">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47">
    <xf numFmtId="0" fontId="0" fillId="0" borderId="0" xfId="0"/>
    <xf numFmtId="164" fontId="0" fillId="0" borderId="0" xfId="0" applyNumberFormat="1"/>
    <xf numFmtId="165" fontId="0" fillId="0" borderId="0" xfId="0" applyNumberFormat="1"/>
    <xf numFmtId="0" fontId="0" fillId="2" borderId="0" xfId="0" applyFill="1"/>
    <xf numFmtId="0" fontId="0" fillId="0" borderId="0" xfId="0" applyAlignment="1">
      <alignment horizontal="right"/>
    </xf>
    <xf numFmtId="0" fontId="0" fillId="0" borderId="0" xfId="0" applyBorder="1"/>
    <xf numFmtId="0" fontId="0" fillId="0" borderId="0" xfId="0" applyAlignment="1">
      <alignment horizontal="center"/>
    </xf>
    <xf numFmtId="44" fontId="0" fillId="0" borderId="0" xfId="2" applyFont="1"/>
    <xf numFmtId="44" fontId="0" fillId="0" borderId="0" xfId="0" applyNumberFormat="1"/>
    <xf numFmtId="44" fontId="0" fillId="3" borderId="0" xfId="2" applyFont="1" applyFill="1"/>
    <xf numFmtId="44" fontId="4" fillId="3" borderId="0" xfId="2" applyFont="1" applyFill="1"/>
    <xf numFmtId="0" fontId="0" fillId="0" borderId="0" xfId="0" applyNumberFormat="1"/>
    <xf numFmtId="44" fontId="0" fillId="3" borderId="0" xfId="0" applyNumberFormat="1" applyFill="1"/>
    <xf numFmtId="44" fontId="4" fillId="3" borderId="0" xfId="0" applyNumberFormat="1" applyFont="1" applyFill="1"/>
    <xf numFmtId="44" fontId="0" fillId="3" borderId="0" xfId="0" applyNumberFormat="1" applyFont="1" applyFill="1"/>
    <xf numFmtId="44" fontId="0" fillId="4" borderId="0" xfId="2" applyFont="1" applyFill="1"/>
    <xf numFmtId="44" fontId="0" fillId="4" borderId="0" xfId="0" applyNumberFormat="1" applyFill="1"/>
    <xf numFmtId="44" fontId="0" fillId="5" borderId="0" xfId="2" applyFont="1" applyFill="1"/>
    <xf numFmtId="44" fontId="0" fillId="5" borderId="0" xfId="0" applyNumberFormat="1" applyFill="1"/>
    <xf numFmtId="166" fontId="0" fillId="6" borderId="0" xfId="1" applyNumberFormat="1" applyFont="1" applyFill="1" applyAlignment="1">
      <alignment horizontal="center"/>
    </xf>
    <xf numFmtId="166" fontId="0" fillId="6" borderId="0" xfId="0" applyNumberFormat="1" applyFill="1" applyAlignment="1">
      <alignment horizontal="center"/>
    </xf>
    <xf numFmtId="166" fontId="0" fillId="7" borderId="0" xfId="1" applyNumberFormat="1" applyFont="1" applyFill="1" applyAlignment="1">
      <alignment horizontal="center"/>
    </xf>
    <xf numFmtId="166" fontId="0" fillId="7" borderId="0" xfId="0" applyNumberFormat="1" applyFill="1" applyAlignment="1">
      <alignment horizontal="center"/>
    </xf>
    <xf numFmtId="44" fontId="4" fillId="0" borderId="0" xfId="2" applyFont="1"/>
    <xf numFmtId="0" fontId="0" fillId="2" borderId="0" xfId="0" applyFill="1" applyProtection="1">
      <protection locked="0"/>
    </xf>
    <xf numFmtId="165" fontId="0" fillId="2" borderId="0" xfId="0" applyNumberFormat="1" applyFill="1" applyProtection="1">
      <protection locked="0"/>
    </xf>
    <xf numFmtId="165" fontId="3" fillId="2" borderId="0" xfId="0" applyNumberFormat="1" applyFont="1" applyFill="1" applyBorder="1" applyProtection="1">
      <protection locked="0"/>
    </xf>
    <xf numFmtId="166" fontId="0" fillId="0" borderId="0" xfId="1" applyNumberFormat="1" applyFont="1" applyAlignment="1">
      <alignment horizontal="center"/>
    </xf>
    <xf numFmtId="44" fontId="0" fillId="0" borderId="6" xfId="2" applyFont="1" applyBorder="1"/>
    <xf numFmtId="44" fontId="3" fillId="0" borderId="6" xfId="2" applyFont="1" applyBorder="1"/>
    <xf numFmtId="0" fontId="0" fillId="0" borderId="6" xfId="0" applyBorder="1"/>
    <xf numFmtId="0" fontId="0" fillId="8" borderId="0" xfId="0" applyFill="1" applyBorder="1"/>
    <xf numFmtId="165" fontId="0" fillId="0" borderId="0" xfId="0" applyNumberFormat="1" applyBorder="1"/>
    <xf numFmtId="0" fontId="0" fillId="2" borderId="0" xfId="0" applyFill="1" applyBorder="1"/>
    <xf numFmtId="0" fontId="0" fillId="0" borderId="8" xfId="0" applyBorder="1"/>
    <xf numFmtId="44" fontId="4" fillId="0" borderId="9" xfId="2" applyFont="1" applyBorder="1"/>
    <xf numFmtId="0" fontId="0" fillId="2" borderId="3" xfId="0" applyFill="1" applyBorder="1" applyProtection="1">
      <protection locked="0"/>
    </xf>
    <xf numFmtId="0" fontId="0" fillId="0" borderId="4" xfId="0" applyBorder="1"/>
    <xf numFmtId="0" fontId="0" fillId="2" borderId="6" xfId="0" applyFill="1" applyBorder="1"/>
    <xf numFmtId="0" fontId="0" fillId="0" borderId="0" xfId="0" applyBorder="1" applyProtection="1">
      <protection locked="0"/>
    </xf>
    <xf numFmtId="0" fontId="0" fillId="2" borderId="0" xfId="0" applyFill="1" applyBorder="1" applyProtection="1">
      <protection locked="0"/>
    </xf>
    <xf numFmtId="165" fontId="0" fillId="2" borderId="0" xfId="0" applyNumberFormat="1" applyFill="1" applyBorder="1" applyProtection="1">
      <protection locked="0"/>
    </xf>
    <xf numFmtId="165" fontId="0" fillId="0" borderId="6" xfId="0" applyNumberFormat="1" applyBorder="1"/>
    <xf numFmtId="165" fontId="4" fillId="0" borderId="6" xfId="0" applyNumberFormat="1" applyFont="1" applyBorder="1"/>
    <xf numFmtId="165" fontId="3" fillId="0" borderId="0" xfId="0" applyNumberFormat="1" applyFont="1" applyFill="1" applyBorder="1"/>
    <xf numFmtId="165" fontId="3" fillId="0" borderId="6" xfId="0" applyNumberFormat="1" applyFont="1" applyBorder="1"/>
    <xf numFmtId="165" fontId="3" fillId="0" borderId="0" xfId="0" applyNumberFormat="1" applyFont="1" applyBorder="1"/>
    <xf numFmtId="165" fontId="3" fillId="0" borderId="10" xfId="0" applyNumberFormat="1" applyFont="1" applyBorder="1"/>
    <xf numFmtId="165" fontId="4" fillId="0" borderId="8" xfId="0" applyNumberFormat="1" applyFont="1" applyBorder="1"/>
    <xf numFmtId="0" fontId="0" fillId="0" borderId="9" xfId="0" applyBorder="1"/>
    <xf numFmtId="44" fontId="4" fillId="0" borderId="11" xfId="2" applyFont="1" applyBorder="1"/>
    <xf numFmtId="165" fontId="0" fillId="3" borderId="0" xfId="0" applyNumberFormat="1" applyFill="1" applyBorder="1" applyProtection="1">
      <protection locked="0"/>
    </xf>
    <xf numFmtId="165" fontId="3" fillId="3" borderId="1" xfId="0" applyNumberFormat="1" applyFont="1" applyFill="1" applyBorder="1" applyProtection="1">
      <protection locked="0"/>
    </xf>
    <xf numFmtId="44" fontId="0" fillId="3" borderId="0" xfId="2" applyFont="1" applyFill="1" applyBorder="1" applyProtection="1">
      <protection locked="0"/>
    </xf>
    <xf numFmtId="0" fontId="6" fillId="2" borderId="0" xfId="0" applyFont="1" applyFill="1" applyProtection="1">
      <protection locked="0"/>
    </xf>
    <xf numFmtId="164" fontId="2" fillId="2" borderId="0" xfId="0" applyNumberFormat="1" applyFont="1" applyFill="1" applyProtection="1">
      <protection locked="0"/>
    </xf>
    <xf numFmtId="0" fontId="0" fillId="2" borderId="0" xfId="0" applyNumberFormat="1" applyFill="1" applyProtection="1">
      <protection locked="0"/>
    </xf>
    <xf numFmtId="164" fontId="5" fillId="2" borderId="0" xfId="0" applyNumberFormat="1" applyFont="1" applyFill="1" applyProtection="1">
      <protection locked="0"/>
    </xf>
    <xf numFmtId="44" fontId="0" fillId="2" borderId="0" xfId="2" applyFont="1" applyFill="1" applyProtection="1">
      <protection locked="0"/>
    </xf>
    <xf numFmtId="9" fontId="0" fillId="2" borderId="0" xfId="1" applyFont="1" applyFill="1" applyProtection="1">
      <protection locked="0"/>
    </xf>
    <xf numFmtId="44" fontId="0" fillId="2" borderId="0" xfId="0" applyNumberFormat="1" applyFill="1" applyBorder="1" applyProtection="1">
      <protection locked="0"/>
    </xf>
    <xf numFmtId="9" fontId="0" fillId="2" borderId="0" xfId="0" applyNumberFormat="1" applyFill="1" applyBorder="1" applyProtection="1">
      <protection locked="0"/>
    </xf>
    <xf numFmtId="0" fontId="0" fillId="2" borderId="8" xfId="0" applyFill="1" applyBorder="1" applyProtection="1">
      <protection locked="0"/>
    </xf>
    <xf numFmtId="165" fontId="0" fillId="2" borderId="8" xfId="0" applyNumberFormat="1" applyFill="1" applyBorder="1" applyProtection="1">
      <protection locked="0"/>
    </xf>
    <xf numFmtId="0" fontId="15" fillId="0" borderId="0" xfId="0" applyFont="1"/>
    <xf numFmtId="0" fontId="15" fillId="0" borderId="0" xfId="0" applyFont="1" applyAlignment="1">
      <alignment vertical="top"/>
    </xf>
    <xf numFmtId="0" fontId="4" fillId="9" borderId="2" xfId="0" applyFont="1" applyFill="1" applyBorder="1"/>
    <xf numFmtId="0" fontId="4" fillId="9" borderId="5" xfId="0" applyFont="1" applyFill="1" applyBorder="1"/>
    <xf numFmtId="0" fontId="0" fillId="9" borderId="5" xfId="0" applyFont="1" applyFill="1" applyBorder="1"/>
    <xf numFmtId="0" fontId="6" fillId="9" borderId="5" xfId="0" applyFont="1" applyFill="1" applyBorder="1" applyAlignment="1">
      <alignment horizontal="left" indent="1"/>
    </xf>
    <xf numFmtId="0" fontId="4" fillId="9" borderId="5" xfId="0" applyFont="1" applyFill="1" applyBorder="1" applyAlignment="1">
      <alignment horizontal="left"/>
    </xf>
    <xf numFmtId="0" fontId="10" fillId="9" borderId="5" xfId="0" applyFont="1" applyFill="1" applyBorder="1" applyAlignment="1">
      <alignment horizontal="left" indent="1"/>
    </xf>
    <xf numFmtId="0" fontId="8" fillId="9" borderId="5" xfId="0" applyFont="1" applyFill="1" applyBorder="1" applyAlignment="1">
      <alignment horizontal="left" indent="9"/>
    </xf>
    <xf numFmtId="0" fontId="8" fillId="9" borderId="5" xfId="0" applyFont="1" applyFill="1" applyBorder="1"/>
    <xf numFmtId="0" fontId="0" fillId="9" borderId="5" xfId="0" applyFont="1" applyFill="1" applyBorder="1" applyAlignment="1">
      <alignment horizontal="left" indent="1"/>
    </xf>
    <xf numFmtId="0" fontId="4" fillId="9" borderId="7" xfId="0" applyFont="1" applyFill="1" applyBorder="1"/>
    <xf numFmtId="165" fontId="0" fillId="0" borderId="0" xfId="0" applyNumberFormat="1" applyBorder="1" applyProtection="1"/>
    <xf numFmtId="164" fontId="0" fillId="10" borderId="0" xfId="0" applyNumberFormat="1" applyFill="1"/>
    <xf numFmtId="0" fontId="0" fillId="0" borderId="0" xfId="0" applyAlignment="1">
      <alignment horizontal="left"/>
    </xf>
    <xf numFmtId="0" fontId="0" fillId="3" borderId="0"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11" borderId="0" xfId="0" applyFill="1"/>
    <xf numFmtId="0" fontId="0" fillId="11" borderId="0" xfId="0" applyFill="1" applyAlignment="1">
      <alignment horizontal="center"/>
    </xf>
    <xf numFmtId="0" fontId="11" fillId="11" borderId="0" xfId="0" applyFont="1" applyFill="1"/>
    <xf numFmtId="0" fontId="12" fillId="11" borderId="0" xfId="0" applyFont="1" applyFill="1"/>
    <xf numFmtId="0" fontId="12" fillId="11" borderId="0" xfId="0" applyFont="1" applyFill="1" applyAlignment="1">
      <alignment horizontal="left"/>
    </xf>
    <xf numFmtId="0" fontId="12" fillId="15" borderId="0" xfId="0" applyFont="1" applyFill="1" applyBorder="1" applyProtection="1"/>
    <xf numFmtId="0" fontId="0" fillId="11" borderId="0" xfId="0" applyFill="1" applyAlignment="1"/>
    <xf numFmtId="0" fontId="4" fillId="16" borderId="5" xfId="0" applyFont="1" applyFill="1" applyBorder="1"/>
    <xf numFmtId="0" fontId="0" fillId="16" borderId="5" xfId="0" applyFill="1" applyBorder="1"/>
    <xf numFmtId="0" fontId="4" fillId="16" borderId="7" xfId="0" applyFont="1" applyFill="1" applyBorder="1"/>
    <xf numFmtId="0" fontId="0" fillId="16" borderId="6" xfId="0" applyFill="1" applyBorder="1"/>
    <xf numFmtId="0" fontId="4" fillId="14" borderId="5" xfId="0" applyFont="1" applyFill="1" applyBorder="1"/>
    <xf numFmtId="0" fontId="4" fillId="14" borderId="7" xfId="0" applyFont="1" applyFill="1" applyBorder="1"/>
    <xf numFmtId="0" fontId="4" fillId="14" borderId="0" xfId="0" applyFont="1" applyFill="1" applyBorder="1" applyAlignment="1">
      <alignment horizontal="center"/>
    </xf>
    <xf numFmtId="0" fontId="4" fillId="14" borderId="6" xfId="0" applyFont="1" applyFill="1" applyBorder="1" applyAlignment="1">
      <alignment horizontal="center"/>
    </xf>
    <xf numFmtId="0" fontId="0" fillId="16" borderId="0" xfId="0" applyFill="1" applyBorder="1"/>
    <xf numFmtId="166" fontId="0" fillId="0" borderId="0" xfId="1" applyNumberFormat="1" applyFont="1"/>
    <xf numFmtId="0" fontId="14" fillId="15" borderId="12" xfId="0" applyFont="1" applyFill="1" applyBorder="1" applyAlignment="1">
      <alignment horizontal="center"/>
    </xf>
    <xf numFmtId="0" fontId="13" fillId="15" borderId="13" xfId="0" applyFont="1" applyFill="1" applyBorder="1" applyAlignment="1">
      <alignment horizontal="center"/>
    </xf>
    <xf numFmtId="0" fontId="9" fillId="15" borderId="13" xfId="0" applyFont="1" applyFill="1" applyBorder="1" applyAlignment="1">
      <alignment horizontal="center"/>
    </xf>
    <xf numFmtId="0" fontId="0" fillId="15" borderId="14" xfId="0" applyFill="1" applyBorder="1"/>
    <xf numFmtId="0" fontId="21" fillId="11" borderId="0" xfId="0" applyFont="1" applyFill="1" applyAlignment="1">
      <alignment horizontal="center" vertical="center"/>
    </xf>
    <xf numFmtId="0" fontId="19" fillId="11" borderId="0" xfId="0" applyFont="1" applyFill="1" applyAlignment="1"/>
    <xf numFmtId="0" fontId="21" fillId="2" borderId="0" xfId="0" applyFont="1" applyFill="1" applyAlignment="1">
      <alignment horizontal="center" vertical="center"/>
    </xf>
    <xf numFmtId="167" fontId="0" fillId="2" borderId="0" xfId="2" applyNumberFormat="1" applyFont="1" applyFill="1" applyBorder="1" applyAlignment="1" applyProtection="1">
      <alignment horizontal="center"/>
      <protection locked="0"/>
    </xf>
    <xf numFmtId="0" fontId="0" fillId="11" borderId="0" xfId="0" applyFill="1" applyBorder="1"/>
    <xf numFmtId="0" fontId="2" fillId="11" borderId="0" xfId="0" applyFont="1" applyFill="1" applyBorder="1" applyAlignment="1"/>
    <xf numFmtId="0" fontId="4" fillId="11" borderId="0" xfId="0" applyFont="1" applyFill="1" applyBorder="1"/>
    <xf numFmtId="44" fontId="0" fillId="11" borderId="0" xfId="2" applyFont="1" applyFill="1" applyBorder="1"/>
    <xf numFmtId="44" fontId="3" fillId="11" borderId="0" xfId="2" applyFont="1" applyFill="1" applyBorder="1"/>
    <xf numFmtId="44" fontId="4" fillId="11" borderId="0" xfId="2" applyFont="1" applyFill="1" applyBorder="1"/>
    <xf numFmtId="0" fontId="20" fillId="2" borderId="0" xfId="0" applyFont="1" applyFill="1" applyBorder="1" applyAlignment="1">
      <alignment horizontal="center" vertical="center" textRotation="45"/>
    </xf>
    <xf numFmtId="0" fontId="20" fillId="11" borderId="5" xfId="0" applyFont="1" applyFill="1" applyBorder="1" applyAlignment="1">
      <alignment horizontal="center" vertical="center" textRotation="45"/>
    </xf>
    <xf numFmtId="0" fontId="0" fillId="11" borderId="6" xfId="0" applyFill="1" applyBorder="1"/>
    <xf numFmtId="166" fontId="0" fillId="2" borderId="0" xfId="1" applyNumberFormat="1" applyFont="1" applyFill="1" applyBorder="1" applyAlignment="1" applyProtection="1">
      <alignment horizontal="center"/>
      <protection locked="0"/>
    </xf>
    <xf numFmtId="0" fontId="0" fillId="9" borderId="6" xfId="0" applyFill="1" applyBorder="1"/>
    <xf numFmtId="167" fontId="4" fillId="2" borderId="15" xfId="2" applyNumberFormat="1" applyFont="1" applyFill="1" applyBorder="1" applyAlignment="1" applyProtection="1">
      <alignment horizontal="center"/>
      <protection locked="0"/>
    </xf>
    <xf numFmtId="0" fontId="21" fillId="2" borderId="8" xfId="0" applyFont="1" applyFill="1" applyBorder="1" applyAlignment="1">
      <alignment horizontal="center" vertical="center"/>
    </xf>
    <xf numFmtId="44" fontId="4" fillId="0" borderId="16" xfId="2" applyFont="1" applyBorder="1"/>
    <xf numFmtId="168" fontId="21" fillId="2" borderId="0" xfId="0" applyNumberFormat="1" applyFont="1" applyFill="1" applyAlignment="1">
      <alignment horizontal="center" vertical="center"/>
    </xf>
    <xf numFmtId="0" fontId="15" fillId="0" borderId="0" xfId="0" applyFont="1" applyAlignment="1">
      <alignment vertical="top" wrapText="1"/>
    </xf>
    <xf numFmtId="0" fontId="15" fillId="0" borderId="0" xfId="0" applyFont="1"/>
    <xf numFmtId="0" fontId="15" fillId="0" borderId="0" xfId="0" applyFont="1" applyAlignment="1">
      <alignment horizontal="left" vertical="top" wrapText="1"/>
    </xf>
    <xf numFmtId="0" fontId="15" fillId="0" borderId="0" xfId="0" quotePrefix="1" applyFont="1" applyAlignment="1">
      <alignment vertical="top" wrapText="1"/>
    </xf>
    <xf numFmtId="0" fontId="0" fillId="0" borderId="0" xfId="0" applyAlignment="1">
      <alignment vertical="top"/>
    </xf>
    <xf numFmtId="0" fontId="23" fillId="0" borderId="0" xfId="0" applyFont="1" applyAlignment="1">
      <alignment horizontal="justify" vertical="top"/>
    </xf>
    <xf numFmtId="0" fontId="0" fillId="2" borderId="0" xfId="2" applyNumberFormat="1" applyFont="1" applyFill="1" applyProtection="1">
      <protection locked="0"/>
    </xf>
    <xf numFmtId="0" fontId="16" fillId="0" borderId="0" xfId="0" applyFont="1" applyAlignment="1">
      <alignment horizontal="center"/>
    </xf>
    <xf numFmtId="0" fontId="29" fillId="0" borderId="0" xfId="0" applyFont="1" applyAlignment="1">
      <alignment horizontal="center"/>
    </xf>
    <xf numFmtId="0" fontId="22" fillId="0" borderId="0" xfId="0" applyFont="1" applyAlignment="1">
      <alignment horizontal="left" vertical="top" wrapText="1"/>
    </xf>
    <xf numFmtId="0" fontId="15" fillId="0" borderId="0" xfId="0" applyFont="1" applyAlignment="1">
      <alignment vertical="top"/>
    </xf>
    <xf numFmtId="0" fontId="28" fillId="0" borderId="0" xfId="0" applyFont="1" applyAlignment="1">
      <alignment vertical="top"/>
    </xf>
    <xf numFmtId="0" fontId="15" fillId="0" borderId="0" xfId="0" applyFont="1" applyAlignment="1">
      <alignment vertical="top" wrapText="1"/>
    </xf>
    <xf numFmtId="0" fontId="23" fillId="0" borderId="0" xfId="0" applyFont="1" applyAlignment="1">
      <alignment horizontal="justify" vertical="top"/>
    </xf>
    <xf numFmtId="0" fontId="18" fillId="0" borderId="0" xfId="0" applyFont="1" applyAlignment="1">
      <alignment horizontal="center" vertical="center"/>
    </xf>
    <xf numFmtId="0" fontId="4" fillId="2" borderId="0" xfId="0" applyFont="1" applyFill="1" applyAlignment="1" applyProtection="1">
      <alignment horizontal="center"/>
      <protection locked="0"/>
    </xf>
    <xf numFmtId="0" fontId="0" fillId="11" borderId="0" xfId="0" applyFill="1" applyAlignment="1">
      <alignment horizontal="center"/>
    </xf>
    <xf numFmtId="0" fontId="31" fillId="11" borderId="0" xfId="0" applyFont="1" applyFill="1" applyAlignment="1">
      <alignment horizontal="center"/>
    </xf>
    <xf numFmtId="0" fontId="2" fillId="12" borderId="2" xfId="0" applyFont="1" applyFill="1" applyBorder="1" applyAlignment="1">
      <alignment horizontal="left"/>
    </xf>
    <xf numFmtId="0" fontId="2" fillId="12" borderId="3" xfId="0" applyFont="1" applyFill="1" applyBorder="1" applyAlignment="1">
      <alignment horizontal="left"/>
    </xf>
    <xf numFmtId="0" fontId="2" fillId="12" borderId="4" xfId="0" applyFont="1" applyFill="1" applyBorder="1" applyAlignment="1">
      <alignment horizontal="left"/>
    </xf>
    <xf numFmtId="0" fontId="2" fillId="13" borderId="12" xfId="0" applyFont="1" applyFill="1" applyBorder="1" applyAlignment="1">
      <alignment horizontal="center"/>
    </xf>
    <xf numFmtId="0" fontId="2" fillId="13" borderId="13" xfId="0" applyFont="1" applyFill="1" applyBorder="1" applyAlignment="1">
      <alignment horizontal="center"/>
    </xf>
    <xf numFmtId="0" fontId="2" fillId="13" borderId="14" xfId="0" applyFont="1" applyFill="1" applyBorder="1" applyAlignment="1">
      <alignment horizontal="center"/>
    </xf>
    <xf numFmtId="0" fontId="17" fillId="11" borderId="0" xfId="0" applyFont="1" applyFill="1" applyAlignment="1">
      <alignment horizontal="center"/>
    </xf>
    <xf numFmtId="0" fontId="4" fillId="0" borderId="0" xfId="0" applyFont="1" applyAlignment="1">
      <alignment horizontal="center"/>
    </xf>
  </cellXfs>
  <cellStyles count="3">
    <cellStyle name="Currency" xfId="2" builtinId="4"/>
    <cellStyle name="Normal" xfId="0" builtinId="0"/>
    <cellStyle name="Percent" xfId="1" builtinId="5"/>
  </cellStyles>
  <dxfs count="70">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numFmt numFmtId="165" formatCode="_-[$$-409]* #,##0.00_ ;_-[$$-409]* \-#,##0.00\ ;_-[$$-409]* &quot;-&quot;??_ ;_-@_ "/>
    </dxf>
    <dxf>
      <numFmt numFmtId="165" formatCode="_-[$$-409]* #,##0.00_ ;_-[$$-409]* \-#,##0.00\ ;_-[$$-409]* &quot;-&quot;??_ ;_-@_ "/>
    </dxf>
    <dxf>
      <numFmt numFmtId="166" formatCode="0.0%"/>
    </dxf>
    <dxf>
      <numFmt numFmtId="166" formatCode="0.0%"/>
    </dxf>
    <dxf>
      <numFmt numFmtId="166" formatCode="0.0%"/>
    </dxf>
    <dxf>
      <numFmt numFmtId="165" formatCode="_-[$$-409]* #,##0.00_ ;_-[$$-409]* \-#,##0.00\ ;_-[$$-409]* &quot;-&quot;??_ ;_-@_ "/>
    </dxf>
    <dxf>
      <numFmt numFmtId="165" formatCode="_-[$$-409]* #,##0.00_ ;_-[$$-409]* \-#,##0.00\ ;_-[$$-409]* &quot;-&quot;??_ ;_-@_ "/>
    </dxf>
    <dxf>
      <numFmt numFmtId="165" formatCode="_-[$$-409]* #,##0.00_ ;_-[$$-409]* \-#,##0.00\ ;_-[$$-409]* &quot;-&quot;??_ ;_-@_ "/>
    </dxf>
    <dxf>
      <numFmt numFmtId="165" formatCode="_-[$$-409]* #,##0.00_ ;_-[$$-409]* \-#,##0.00\ ;_-[$$-409]* &quot;-&quot;??_ ;_-@_ "/>
    </dxf>
    <dxf>
      <numFmt numFmtId="165" formatCode="_-[$$-409]* #,##0.00_ ;_-[$$-409]* \-#,##0.00\ ;_-[$$-409]* &quot;-&quot;??_ ;_-@_ "/>
    </dxf>
    <dxf>
      <numFmt numFmtId="166" formatCode="0.0%"/>
      <alignment horizontal="center" vertical="bottom" textRotation="0" wrapText="0" indent="0" justifyLastLine="0" shrinkToFit="0" readingOrder="0"/>
    </dxf>
    <dxf>
      <numFmt numFmtId="166" formatCode="0.0%"/>
      <alignment horizontal="center" vertical="bottom" textRotation="0" wrapText="0" indent="0" justifyLastLine="0" shrinkToFit="0" readingOrder="0"/>
    </dxf>
    <dxf>
      <numFmt numFmtId="166" formatCode="0.0%"/>
      <alignment horizontal="center" vertical="bottom" textRotation="0" wrapText="0" indent="0" justifyLastLine="0" shrinkToFit="0" readingOrder="0"/>
    </dxf>
    <dxf>
      <numFmt numFmtId="165" formatCode="_-[$$-409]* #,##0.00_ ;_-[$$-409]* \-#,##0.00\ ;_-[$$-409]* &quot;-&quot;??_ ;_-@_ "/>
    </dxf>
    <dxf>
      <numFmt numFmtId="165" formatCode="_-[$$-409]* #,##0.00_ ;_-[$$-409]* \-#,##0.00\ ;_-[$$-409]* &quot;-&quot;??_ ;_-@_ "/>
    </dxf>
    <dxf>
      <numFmt numFmtId="164" formatCode="[$-2409]mmm\ dd\,\ yyyy;@"/>
    </dxf>
    <dxf>
      <numFmt numFmtId="34" formatCode="_-&quot;$&quot;* #,##0.00_-;\-&quot;$&quot;* #,##0.00_-;_-&quot;$&quot;* &quot;-&quot;??_-;_-@_-"/>
    </dxf>
    <dxf>
      <numFmt numFmtId="34" formatCode="_-&quot;$&quot;* #,##0.00_-;\-&quot;$&quot;* #,##0.00_-;_-&quot;$&quot;* &quot;-&quot;??_-;_-@_-"/>
    </dxf>
    <dxf>
      <numFmt numFmtId="34" formatCode="_-&quot;$&quot;* #,##0.00_-;\-&quot;$&quot;* #,##0.00_-;_-&quot;$&quot;* &quot;-&quot;??_-;_-@_-"/>
    </dxf>
    <dxf>
      <numFmt numFmtId="34" formatCode="_-&quot;$&quot;* #,##0.00_-;\-&quot;$&quot;* #,##0.00_-;_-&quot;$&quot;* &quot;-&quot;??_-;_-@_-"/>
    </dxf>
    <dxf>
      <font>
        <b val="0"/>
        <i val="0"/>
        <strike val="0"/>
        <condense val="0"/>
        <extend val="0"/>
        <outline val="0"/>
        <shadow val="0"/>
        <u val="none"/>
        <vertAlign val="baseline"/>
        <sz val="11"/>
        <color theme="1"/>
        <name val="Calibri"/>
        <scheme val="minor"/>
      </font>
      <numFmt numFmtId="34" formatCode="_-&quot;$&quot;* #,##0.00_-;\-&quot;$&quot;* #,##0.00_-;_-&quot;$&quot;* &quot;-&quot;??_-;_-@_-"/>
    </dxf>
    <dxf>
      <font>
        <b val="0"/>
        <i val="0"/>
        <strike val="0"/>
        <condense val="0"/>
        <extend val="0"/>
        <outline val="0"/>
        <shadow val="0"/>
        <u val="none"/>
        <vertAlign val="baseline"/>
        <sz val="11"/>
        <color theme="1"/>
        <name val="Calibri"/>
        <scheme val="minor"/>
      </font>
      <numFmt numFmtId="166" formatCode="0.0%"/>
    </dxf>
    <dxf>
      <numFmt numFmtId="34" formatCode="_-&quot;$&quot;* #,##0.00_-;\-&quot;$&quot;* #,##0.00_-;_-&quot;$&quot;* &quot;-&quot;??_-;_-@_-"/>
    </dxf>
    <dxf>
      <font>
        <b val="0"/>
        <i val="0"/>
        <strike val="0"/>
        <condense val="0"/>
        <extend val="0"/>
        <outline val="0"/>
        <shadow val="0"/>
        <u val="none"/>
        <vertAlign val="baseline"/>
        <sz val="11"/>
        <color theme="1"/>
        <name val="Calibri"/>
        <scheme val="minor"/>
      </font>
      <numFmt numFmtId="34" formatCode="_-&quot;$&quot;* #,##0.00_-;\-&quot;$&quot;* #,##0.00_-;_-&quot;$&quot;* &quot;-&quot;??_-;_-@_-"/>
    </dxf>
    <dxf>
      <numFmt numFmtId="34" formatCode="_-&quot;$&quot;* #,##0.00_-;\-&quot;$&quot;* #,##0.00_-;_-&quot;$&quot;* &quot;-&quot;??_-;_-@_-"/>
    </dxf>
    <dxf>
      <font>
        <b val="0"/>
        <i val="0"/>
        <strike val="0"/>
        <condense val="0"/>
        <extend val="0"/>
        <outline val="0"/>
        <shadow val="0"/>
        <u val="none"/>
        <vertAlign val="baseline"/>
        <sz val="11"/>
        <color theme="1"/>
        <name val="Calibri"/>
        <scheme val="minor"/>
      </font>
      <numFmt numFmtId="166" formatCode="0.0%"/>
      <fill>
        <patternFill patternType="solid">
          <fgColor indexed="64"/>
          <bgColor rgb="FFFFCCCC"/>
        </patternFill>
      </fill>
      <alignment horizontal="center" vertical="bottom" textRotation="0" wrapText="0" indent="0" justifyLastLine="0" shrinkToFit="0" readingOrder="0"/>
    </dxf>
    <dxf>
      <numFmt numFmtId="34" formatCode="_-&quot;$&quot;* #,##0.00_-;\-&quot;$&quot;* #,##0.00_-;_-&quot;$&quot;* &quot;-&quot;??_-;_-@_-"/>
    </dxf>
    <dxf>
      <numFmt numFmtId="34" formatCode="_-&quot;$&quot;* #,##0.00_-;\-&quot;$&quot;* #,##0.00_-;_-&quot;$&quot;* &quot;-&quot;??_-;_-@_-"/>
    </dxf>
    <dxf>
      <numFmt numFmtId="34" formatCode="_-&quot;$&quot;* #,##0.00_-;\-&quot;$&quot;* #,##0.00_-;_-&quot;$&quot;* &quot;-&quot;??_-;_-@_-"/>
      <fill>
        <patternFill patternType="solid">
          <fgColor indexed="64"/>
          <bgColor theme="5" tint="0.79998168889431442"/>
        </patternFill>
      </fill>
    </dxf>
    <dxf>
      <numFmt numFmtId="166" formatCode="0.0%"/>
      <fill>
        <patternFill patternType="solid">
          <fgColor indexed="64"/>
          <bgColor theme="5" tint="0.79998168889431442"/>
        </patternFill>
      </fill>
    </dxf>
    <dxf>
      <numFmt numFmtId="166" formatCode="0.0%"/>
      <fill>
        <patternFill patternType="solid">
          <fgColor indexed="64"/>
          <bgColor rgb="FFFFCCCC"/>
        </patternFill>
      </fill>
      <alignment horizontal="center" vertical="bottom" textRotation="0" wrapText="0" indent="0" justifyLastLine="0" shrinkToFit="0" readingOrder="0"/>
    </dxf>
    <dxf>
      <numFmt numFmtId="166" formatCode="0.0%"/>
      <fill>
        <patternFill patternType="solid">
          <fgColor indexed="64"/>
          <bgColor theme="0" tint="-0.14999847407452621"/>
        </patternFill>
      </fill>
      <alignment horizontal="center" vertical="bottom" textRotation="0" wrapText="0" indent="0" justifyLastLine="0" shrinkToFit="0" readingOrder="0"/>
    </dxf>
    <dxf>
      <numFmt numFmtId="166" formatCode="0.0%"/>
      <fill>
        <patternFill patternType="solid">
          <fgColor indexed="64"/>
          <bgColor theme="0" tint="-0.14999847407452621"/>
        </patternFill>
      </fill>
      <alignment horizontal="center" vertical="bottom" textRotation="0" wrapText="0" indent="0" justifyLastLine="0" shrinkToFit="0" readingOrder="0"/>
    </dxf>
    <dxf>
      <numFmt numFmtId="0" formatCode="General"/>
    </dxf>
    <dxf>
      <numFmt numFmtId="166" formatCode="0.0%"/>
      <fill>
        <patternFill patternType="solid">
          <fgColor indexed="64"/>
          <bgColor theme="0" tint="-0.14999847407452621"/>
        </patternFill>
      </fill>
      <alignment horizontal="center" vertical="bottom" textRotation="0" wrapText="0" indent="0" justifyLastLine="0" shrinkToFit="0" readingOrder="0"/>
    </dxf>
    <dxf>
      <numFmt numFmtId="34" formatCode="_-&quot;$&quot;* #,##0.00_-;\-&quot;$&quot;* #,##0.00_-;_-&quot;$&quot;* &quot;-&quot;??_-;_-@_-"/>
    </dxf>
    <dxf>
      <numFmt numFmtId="34" formatCode="_-&quot;$&quot;* #,##0.00_-;\-&quot;$&quot;* #,##0.00_-;_-&quot;$&quot;* &quot;-&quot;??_-;_-@_-"/>
      <fill>
        <patternFill patternType="solid">
          <fgColor indexed="64"/>
          <bgColor theme="4" tint="0.79998168889431442"/>
        </patternFill>
      </fill>
    </dxf>
    <dxf>
      <numFmt numFmtId="34" formatCode="_-&quot;$&quot;* #,##0.00_-;\-&quot;$&quot;* #,##0.00_-;_-&quot;$&quot;* &quot;-&quot;??_-;_-@_-"/>
    </dxf>
    <dxf>
      <numFmt numFmtId="34" formatCode="_-&quot;$&quot;* #,##0.00_-;\-&quot;$&quot;* #,##0.00_-;_-&quot;$&quot;* &quot;-&quot;??_-;_-@_-"/>
      <fill>
        <patternFill patternType="solid">
          <fgColor indexed="64"/>
          <bgColor theme="4" tint="0.79998168889431442"/>
        </patternFill>
      </fill>
    </dxf>
    <dxf>
      <font>
        <b/>
        <i val="0"/>
        <strike val="0"/>
        <condense val="0"/>
        <extend val="0"/>
        <outline val="0"/>
        <shadow val="0"/>
        <u val="none"/>
        <vertAlign val="baseline"/>
        <sz val="11"/>
        <color theme="1"/>
        <name val="Calibri"/>
        <scheme val="minor"/>
      </font>
      <numFmt numFmtId="34" formatCode="_-&quot;$&quot;* #,##0.00_-;\-&quot;$&quot;* #,##0.00_-;_-&quot;$&quot;* &quot;-&quot;??_-;_-@_-"/>
      <fill>
        <patternFill patternType="solid">
          <fgColor indexed="64"/>
          <bgColor theme="9" tint="0.79998168889431442"/>
        </patternFill>
      </fill>
    </dxf>
    <dxf>
      <font>
        <b/>
        <i val="0"/>
        <strike val="0"/>
        <condense val="0"/>
        <extend val="0"/>
        <outline val="0"/>
        <shadow val="0"/>
        <u val="none"/>
        <vertAlign val="baseline"/>
        <sz val="11"/>
        <color theme="1"/>
        <name val="Calibri"/>
        <scheme val="minor"/>
      </font>
      <numFmt numFmtId="34" formatCode="_-&quot;$&quot;* #,##0.00_-;\-&quot;$&quot;* #,##0.00_-;_-&quot;$&quot;* &quot;-&quot;??_-;_-@_-"/>
      <fill>
        <patternFill patternType="solid">
          <fgColor indexed="64"/>
          <bgColor theme="9" tint="0.79998168889431442"/>
        </patternFill>
      </fill>
    </dxf>
    <dxf>
      <font>
        <b val="0"/>
        <i val="0"/>
        <strike val="0"/>
        <condense val="0"/>
        <extend val="0"/>
        <outline val="0"/>
        <shadow val="0"/>
        <u val="none"/>
        <vertAlign val="baseline"/>
        <sz val="11"/>
        <color theme="1"/>
        <name val="Calibri"/>
        <scheme val="minor"/>
      </font>
      <numFmt numFmtId="34" formatCode="_-&quot;$&quot;* #,##0.00_-;\-&quot;$&quot;* #,##0.00_-;_-&quot;$&quot;* &quot;-&quot;??_-;_-@_-"/>
      <fill>
        <patternFill patternType="solid">
          <fgColor indexed="64"/>
          <bgColor theme="9" tint="0.79998168889431442"/>
        </patternFill>
      </fill>
    </dxf>
    <dxf>
      <font>
        <b val="0"/>
        <i val="0"/>
        <strike val="0"/>
        <condense val="0"/>
        <extend val="0"/>
        <outline val="0"/>
        <shadow val="0"/>
        <u val="none"/>
        <vertAlign val="baseline"/>
        <sz val="11"/>
        <color theme="1"/>
        <name val="Calibri"/>
        <scheme val="minor"/>
      </font>
      <numFmt numFmtId="34" formatCode="_-&quot;$&quot;* #,##0.00_-;\-&quot;$&quot;* #,##0.00_-;_-&quot;$&quot;* &quot;-&quot;??_-;_-@_-"/>
      <fill>
        <patternFill patternType="solid">
          <fgColor indexed="64"/>
          <bgColor theme="9" tint="0.79998168889431442"/>
        </patternFill>
      </fill>
    </dxf>
    <dxf>
      <font>
        <b val="0"/>
        <i val="0"/>
        <strike val="0"/>
        <condense val="0"/>
        <extend val="0"/>
        <outline val="0"/>
        <shadow val="0"/>
        <u val="none"/>
        <vertAlign val="baseline"/>
        <sz val="11"/>
        <color theme="1"/>
        <name val="Calibri"/>
        <scheme val="minor"/>
      </font>
      <numFmt numFmtId="34" formatCode="_-&quot;$&quot;* #,##0.00_-;\-&quot;$&quot;* #,##0.00_-;_-&quot;$&quot;* &quot;-&quot;??_-;_-@_-"/>
      <fill>
        <patternFill patternType="solid">
          <fgColor indexed="64"/>
          <bgColor theme="9" tint="0.79998168889431442"/>
        </patternFill>
      </fill>
    </dxf>
    <dxf>
      <font>
        <b val="0"/>
        <i val="0"/>
        <strike val="0"/>
        <condense val="0"/>
        <extend val="0"/>
        <outline val="0"/>
        <shadow val="0"/>
        <u val="none"/>
        <vertAlign val="baseline"/>
        <sz val="11"/>
        <color theme="1"/>
        <name val="Calibri"/>
        <scheme val="minor"/>
      </font>
      <numFmt numFmtId="34" formatCode="_-&quot;$&quot;* #,##0.00_-;\-&quot;$&quot;* #,##0.00_-;_-&quot;$&quot;* &quot;-&quot;??_-;_-@_-"/>
      <fill>
        <patternFill patternType="solid">
          <fgColor indexed="64"/>
          <bgColor theme="9" tint="0.79998168889431442"/>
        </patternFill>
      </fill>
    </dxf>
    <dxf>
      <font>
        <b val="0"/>
        <i val="0"/>
        <strike val="0"/>
        <condense val="0"/>
        <extend val="0"/>
        <outline val="0"/>
        <shadow val="0"/>
        <u val="none"/>
        <vertAlign val="baseline"/>
        <sz val="11"/>
        <color theme="1"/>
        <name val="Calibri"/>
        <scheme val="minor"/>
      </font>
      <numFmt numFmtId="34" formatCode="_-&quot;$&quot;* #,##0.00_-;\-&quot;$&quot;* #,##0.00_-;_-&quot;$&quot;* &quot;-&quot;??_-;_-@_-"/>
      <fill>
        <patternFill patternType="solid">
          <fgColor indexed="64"/>
          <bgColor theme="9" tint="0.79998168889431442"/>
        </patternFill>
      </fill>
    </dxf>
    <dxf>
      <font>
        <b val="0"/>
        <i val="0"/>
        <strike val="0"/>
        <condense val="0"/>
        <extend val="0"/>
        <outline val="0"/>
        <shadow val="0"/>
        <u val="none"/>
        <vertAlign val="baseline"/>
        <sz val="11"/>
        <color theme="1"/>
        <name val="Calibri"/>
        <scheme val="minor"/>
      </font>
      <numFmt numFmtId="34" formatCode="_-&quot;$&quot;* #,##0.00_-;\-&quot;$&quot;* #,##0.00_-;_-&quot;$&quot;* &quot;-&quot;??_-;_-@_-"/>
      <fill>
        <patternFill patternType="solid">
          <fgColor indexed="64"/>
          <bgColor theme="9" tint="0.79998168889431442"/>
        </patternFill>
      </fill>
    </dxf>
    <dxf>
      <font>
        <b val="0"/>
        <i val="0"/>
        <strike val="0"/>
        <condense val="0"/>
        <extend val="0"/>
        <outline val="0"/>
        <shadow val="0"/>
        <u val="none"/>
        <vertAlign val="baseline"/>
        <sz val="11"/>
        <color theme="1"/>
        <name val="Calibri"/>
        <scheme val="minor"/>
      </font>
      <numFmt numFmtId="34" formatCode="_-&quot;$&quot;* #,##0.00_-;\-&quot;$&quot;* #,##0.00_-;_-&quot;$&quot;* &quot;-&quot;??_-;_-@_-"/>
      <fill>
        <patternFill patternType="solid">
          <fgColor indexed="64"/>
          <bgColor theme="9" tint="0.79998168889431442"/>
        </patternFill>
      </fill>
    </dxf>
    <dxf>
      <font>
        <b val="0"/>
        <i val="0"/>
        <strike val="0"/>
        <condense val="0"/>
        <extend val="0"/>
        <outline val="0"/>
        <shadow val="0"/>
        <u val="none"/>
        <vertAlign val="baseline"/>
        <sz val="11"/>
        <color theme="1"/>
        <name val="Calibri"/>
        <scheme val="minor"/>
      </font>
      <numFmt numFmtId="34" formatCode="_-&quot;$&quot;* #,##0.00_-;\-&quot;$&quot;* #,##0.00_-;_-&quot;$&quot;* &quot;-&quot;??_-;_-@_-"/>
      <fill>
        <patternFill patternType="solid">
          <fgColor indexed="64"/>
          <bgColor theme="9" tint="0.79998168889431442"/>
        </patternFill>
      </fill>
    </dxf>
    <dxf>
      <numFmt numFmtId="34" formatCode="_-&quot;$&quot;* #,##0.00_-;\-&quot;$&quot;* #,##0.00_-;_-&quot;$&quot;* &quot;-&quot;??_-;_-@_-"/>
      <fill>
        <patternFill patternType="solid">
          <fgColor indexed="64"/>
          <bgColor theme="9" tint="0.79998168889431442"/>
        </patternFill>
      </fill>
    </dxf>
    <dxf>
      <numFmt numFmtId="34" formatCode="_-&quot;$&quot;* #,##0.00_-;\-&quot;$&quot;* #,##0.00_-;_-&quot;$&quot;* &quot;-&quot;??_-;_-@_-"/>
      <fill>
        <patternFill patternType="solid">
          <fgColor indexed="64"/>
          <bgColor theme="9" tint="0.79998168889431442"/>
        </patternFill>
      </fill>
    </dxf>
    <dxf>
      <numFmt numFmtId="34" formatCode="_-&quot;$&quot;* #,##0.00_-;\-&quot;$&quot;* #,##0.00_-;_-&quot;$&quot;* &quot;-&quot;??_-;_-@_-"/>
    </dxf>
    <dxf>
      <numFmt numFmtId="164" formatCode="[$-2409]mmm\ dd\,\ yyyy;@"/>
    </dxf>
    <dxf>
      <alignment horizontal="center" vertical="bottom" textRotation="0" wrapText="0" indent="0" justifyLastLine="0" shrinkToFit="0" readingOrder="0"/>
    </dxf>
    <dxf>
      <numFmt numFmtId="164" formatCode="[$-2409]mmm\ dd\,\ yyyy;@"/>
      <alignment horizontal="center" vertical="bottom" textRotation="0" wrapText="0" indent="0" justifyLastLine="0" shrinkToFit="0" readingOrder="0"/>
    </dxf>
    <dxf>
      <alignment horizontal="center" vertical="bottom" textRotation="0" wrapText="0" indent="0" justifyLastLine="0" shrinkToFit="0" readingOrder="0"/>
    </dxf>
    <dxf>
      <font>
        <color theme="4" tint="-0.24994659260841701"/>
      </font>
      <fill>
        <patternFill>
          <bgColor theme="4" tint="-0.2499465926084170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9" tint="0.79998168889431442"/>
      </font>
    </dxf>
  </dxfs>
  <tableStyles count="0" defaultTableStyle="TableStyleMedium2" defaultPivotStyle="PivotStyleLight16"/>
  <colors>
    <mruColors>
      <color rgb="FF000F99"/>
      <color rgb="FFCC9900"/>
      <color rgb="FFFFC7CE"/>
      <color rgb="FF9C0006"/>
      <color rgb="FFFFC7D1"/>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16" fmlaLink="$I$17" fmlaRange="'Additional Tables'!$B$2:$B$7" sel="1" val="0"/>
</file>

<file path=xl/ctrlProps/ctrlProp2.xml><?xml version="1.0" encoding="utf-8"?>
<formControlPr xmlns="http://schemas.microsoft.com/office/spreadsheetml/2009/9/main" objectType="CheckBox" fmlaLink="$H$49" lockText="1"/>
</file>

<file path=xl/ctrlProps/ctrlProp3.xml><?xml version="1.0" encoding="utf-8"?>
<formControlPr xmlns="http://schemas.microsoft.com/office/spreadsheetml/2009/9/main" objectType="CheckBox" fmlaLink="$H$50" lockText="1"/>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Radio" checked="Checked" firstButton="1" fmlaLink="$I$47"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Radio" firstButton="1" fmlaLink="$I$52" lockText="1"/>
</file>

<file path=xl/ctrlProps/ctrlProp9.xml><?xml version="1.0" encoding="utf-8"?>
<formControlPr xmlns="http://schemas.microsoft.com/office/spreadsheetml/2009/9/main" objectType="Radio" checked="Checked" lockText="1"/>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Radio" firstButton="1" fmlaLink="$I$53" lockText="1"/>
</file>

<file path=xl/ctrlProps/ctrlProp12.xml><?xml version="1.0" encoding="utf-8"?>
<formControlPr xmlns="http://schemas.microsoft.com/office/spreadsheetml/2009/9/main" objectType="Radio" checked="Checked"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GBox"/>
</file>

<file path=xl/ctrlProps/ctrlProp15.xml><?xml version="1.0" encoding="utf-8"?>
<formControlPr xmlns="http://schemas.microsoft.com/office/spreadsheetml/2009/9/main" objectType="Radio" checked="Checked" firstButton="1" fmlaLink="$D$50" lockText="1"/>
</file>

<file path=xl/ctrlProps/ctrlProp16.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absolute">
    <xdr:from>
      <xdr:col>3</xdr:col>
      <xdr:colOff>63500</xdr:colOff>
      <xdr:row>0</xdr:row>
      <xdr:rowOff>57150</xdr:rowOff>
    </xdr:from>
    <xdr:to>
      <xdr:col>13</xdr:col>
      <xdr:colOff>171450</xdr:colOff>
      <xdr:row>6</xdr:row>
      <xdr:rowOff>99483</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109" b="11175"/>
        <a:stretch/>
      </xdr:blipFill>
      <xdr:spPr bwMode="auto">
        <a:xfrm>
          <a:off x="1060450" y="57150"/>
          <a:ext cx="6203950" cy="1147233"/>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16</xdr:row>
          <xdr:rowOff>12700</xdr:rowOff>
        </xdr:from>
        <xdr:to>
          <xdr:col>3</xdr:col>
          <xdr:colOff>0</xdr:colOff>
          <xdr:row>17</xdr:row>
          <xdr:rowOff>0</xdr:rowOff>
        </xdr:to>
        <xdr:sp macro="" textlink="">
          <xdr:nvSpPr>
            <xdr:cNvPr id="2050" name="Drop Down 2"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48</xdr:row>
          <xdr:rowOff>0</xdr:rowOff>
        </xdr:from>
        <xdr:to>
          <xdr:col>1</xdr:col>
          <xdr:colOff>927100</xdr:colOff>
          <xdr:row>49</xdr:row>
          <xdr:rowOff>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029" sz="800" b="0" i="0" u="none" strike="noStrike" baseline="0">
                  <a:solidFill>
                    <a:srgbClr val="000000"/>
                  </a:solidFill>
                  <a:latin typeface="Segoe UI"/>
                  <a:ea typeface="Segoe UI"/>
                  <a:cs typeface="Segoe UI"/>
                </a:rPr>
                <a:t>Spouse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49</xdr:row>
          <xdr:rowOff>19050</xdr:rowOff>
        </xdr:from>
        <xdr:to>
          <xdr:col>1</xdr:col>
          <xdr:colOff>533400</xdr:colOff>
          <xdr:row>50</xdr:row>
          <xdr:rowOff>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029" sz="800" b="0" i="0" u="none" strike="noStrike" baseline="0">
                  <a:solidFill>
                    <a:srgbClr val="000000"/>
                  </a:solidFill>
                  <a:latin typeface="Segoe UI"/>
                  <a:ea typeface="Segoe UI"/>
                  <a:cs typeface="Segoe UI"/>
                </a:rPr>
                <a:t>Child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46</xdr:row>
          <xdr:rowOff>184150</xdr:rowOff>
        </xdr:from>
        <xdr:to>
          <xdr:col>2</xdr:col>
          <xdr:colOff>0</xdr:colOff>
          <xdr:row>48</xdr:row>
          <xdr:rowOff>0</xdr:rowOff>
        </xdr:to>
        <xdr:sp macro="" textlink="">
          <xdr:nvSpPr>
            <xdr:cNvPr id="2087" name="Group Box 39" hidden="1">
              <a:extLst>
                <a:ext uri="{63B3BB69-23CF-44E3-9099-C40C66FF867C}">
                  <a14:compatExt spid="_x0000_s20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47</xdr:row>
          <xdr:rowOff>0</xdr:rowOff>
        </xdr:from>
        <xdr:to>
          <xdr:col>1</xdr:col>
          <xdr:colOff>742950</xdr:colOff>
          <xdr:row>47</xdr:row>
          <xdr:rowOff>171450</xdr:rowOff>
        </xdr:to>
        <xdr:sp macro="" textlink="">
          <xdr:nvSpPr>
            <xdr:cNvPr id="2089" name="Option Button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029" sz="800" b="0" i="0" u="none" strike="noStrike" baseline="0">
                  <a:solidFill>
                    <a:srgbClr val="000000"/>
                  </a:solidFill>
                  <a:latin typeface="Segoe UI"/>
                  <a:ea typeface="Segoe UI"/>
                  <a:cs typeface="Segoe UI"/>
                </a:rPr>
                <a:t>Individual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698500</xdr:colOff>
          <xdr:row>47</xdr:row>
          <xdr:rowOff>19050</xdr:rowOff>
        </xdr:from>
        <xdr:to>
          <xdr:col>1</xdr:col>
          <xdr:colOff>1308100</xdr:colOff>
          <xdr:row>47</xdr:row>
          <xdr:rowOff>165100</xdr:rowOff>
        </xdr:to>
        <xdr:sp macro="" textlink="">
          <xdr:nvSpPr>
            <xdr:cNvPr id="2091" name="Option Button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029" sz="800" b="0" i="0" u="none" strike="noStrike" baseline="0">
                  <a:solidFill>
                    <a:srgbClr val="000000"/>
                  </a:solidFill>
                  <a:latin typeface="Segoe UI"/>
                  <a:ea typeface="Segoe UI"/>
                  <a:cs typeface="Segoe UI"/>
                </a:rPr>
                <a:t>Pensioner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1460500</xdr:colOff>
          <xdr:row>51</xdr:row>
          <xdr:rowOff>0</xdr:rowOff>
        </xdr:from>
        <xdr:to>
          <xdr:col>2</xdr:col>
          <xdr:colOff>0</xdr:colOff>
          <xdr:row>52</xdr:row>
          <xdr:rowOff>0</xdr:rowOff>
        </xdr:to>
        <xdr:sp macro="" textlink="">
          <xdr:nvSpPr>
            <xdr:cNvPr id="2092" name="Group Box 44" hidden="1">
              <a:extLst>
                <a:ext uri="{63B3BB69-23CF-44E3-9099-C40C66FF867C}">
                  <a14:compatExt spid="_x0000_s20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1466850</xdr:colOff>
          <xdr:row>51</xdr:row>
          <xdr:rowOff>12700</xdr:rowOff>
        </xdr:from>
        <xdr:to>
          <xdr:col>1</xdr:col>
          <xdr:colOff>1828800</xdr:colOff>
          <xdr:row>52</xdr:row>
          <xdr:rowOff>0</xdr:rowOff>
        </xdr:to>
        <xdr:sp macro="" textlink="">
          <xdr:nvSpPr>
            <xdr:cNvPr id="2096" name="Option Button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029" sz="800" b="0" i="0" u="none" strike="noStrike" baseline="0">
                  <a:solidFill>
                    <a:srgbClr val="000000"/>
                  </a:solidFill>
                  <a:latin typeface="Segoe UI"/>
                  <a:ea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1828800</xdr:colOff>
          <xdr:row>51</xdr:row>
          <xdr:rowOff>12700</xdr:rowOff>
        </xdr:from>
        <xdr:to>
          <xdr:col>1</xdr:col>
          <xdr:colOff>2209800</xdr:colOff>
          <xdr:row>52</xdr:row>
          <xdr:rowOff>0</xdr:rowOff>
        </xdr:to>
        <xdr:sp macro="" textlink="">
          <xdr:nvSpPr>
            <xdr:cNvPr id="2097" name="Option Button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029" sz="800" b="0" i="0" u="none" strike="noStrike" baseline="0">
                  <a:solidFill>
                    <a:srgbClr val="000000"/>
                  </a:solidFill>
                  <a:latin typeface="Segoe UI"/>
                  <a:ea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1460500</xdr:colOff>
          <xdr:row>52</xdr:row>
          <xdr:rowOff>0</xdr:rowOff>
        </xdr:from>
        <xdr:to>
          <xdr:col>2</xdr:col>
          <xdr:colOff>0</xdr:colOff>
          <xdr:row>53</xdr:row>
          <xdr:rowOff>0</xdr:rowOff>
        </xdr:to>
        <xdr:sp macro="" textlink="">
          <xdr:nvSpPr>
            <xdr:cNvPr id="2098" name="Group Box 50" hidden="1">
              <a:extLst>
                <a:ext uri="{63B3BB69-23CF-44E3-9099-C40C66FF867C}">
                  <a14:compatExt spid="_x0000_s20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1466850</xdr:colOff>
          <xdr:row>52</xdr:row>
          <xdr:rowOff>12700</xdr:rowOff>
        </xdr:from>
        <xdr:to>
          <xdr:col>1</xdr:col>
          <xdr:colOff>1803400</xdr:colOff>
          <xdr:row>53</xdr:row>
          <xdr:rowOff>0</xdr:rowOff>
        </xdr:to>
        <xdr:sp macro="" textlink="">
          <xdr:nvSpPr>
            <xdr:cNvPr id="2099" name="Option Button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029" sz="800" b="0" i="0" u="none" strike="noStrike" baseline="0">
                  <a:solidFill>
                    <a:srgbClr val="000000"/>
                  </a:solidFill>
                  <a:latin typeface="Segoe UI"/>
                  <a:ea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1828800</xdr:colOff>
          <xdr:row>52</xdr:row>
          <xdr:rowOff>0</xdr:rowOff>
        </xdr:from>
        <xdr:to>
          <xdr:col>1</xdr:col>
          <xdr:colOff>2184400</xdr:colOff>
          <xdr:row>53</xdr:row>
          <xdr:rowOff>0</xdr:rowOff>
        </xdr:to>
        <xdr:sp macro="" textlink="">
          <xdr:nvSpPr>
            <xdr:cNvPr id="2101" name="Option Button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029" sz="800" b="0" i="0" u="none" strike="noStrike" baseline="0">
                  <a:solidFill>
                    <a:srgbClr val="000000"/>
                  </a:solidFill>
                  <a:latin typeface="Segoe UI"/>
                  <a:ea typeface="Segoe UI"/>
                  <a:cs typeface="Segoe UI"/>
                </a:rPr>
                <a:t>No</a:t>
              </a:r>
            </a:p>
          </xdr:txBody>
        </xdr:sp>
        <xdr:clientData fLocksWithSheet="0"/>
      </xdr:twoCellAnchor>
    </mc:Choice>
    <mc:Fallback/>
  </mc:AlternateContent>
  <xdr:twoCellAnchor editAs="oneCell">
    <xdr:from>
      <xdr:col>2</xdr:col>
      <xdr:colOff>155864</xdr:colOff>
      <xdr:row>0</xdr:row>
      <xdr:rowOff>86592</xdr:rowOff>
    </xdr:from>
    <xdr:to>
      <xdr:col>12</xdr:col>
      <xdr:colOff>1532315</xdr:colOff>
      <xdr:row>0</xdr:row>
      <xdr:rowOff>838950</xdr:rowOff>
    </xdr:to>
    <xdr:pic>
      <xdr:nvPicPr>
        <xdr:cNvPr id="16" name="Picture 15"/>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165" b="11175"/>
        <a:stretch/>
      </xdr:blipFill>
      <xdr:spPr bwMode="auto">
        <a:xfrm>
          <a:off x="3094182" y="86592"/>
          <a:ext cx="4620724" cy="752358"/>
        </a:xfrm>
        <a:prstGeom prst="rect">
          <a:avLst/>
        </a:prstGeom>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1</xdr:col>
          <xdr:colOff>1352550</xdr:colOff>
          <xdr:row>47</xdr:row>
          <xdr:rowOff>19050</xdr:rowOff>
        </xdr:from>
        <xdr:to>
          <xdr:col>1</xdr:col>
          <xdr:colOff>1962150</xdr:colOff>
          <xdr:row>47</xdr:row>
          <xdr:rowOff>165100</xdr:rowOff>
        </xdr:to>
        <xdr:sp macro="" textlink="">
          <xdr:nvSpPr>
            <xdr:cNvPr id="2105" name="Option Button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029" sz="800" b="0" i="0" u="none" strike="noStrike" baseline="0">
                  <a:solidFill>
                    <a:srgbClr val="000000"/>
                  </a:solidFill>
                  <a:latin typeface="Segoe UI"/>
                  <a:ea typeface="Segoe UI"/>
                  <a:cs typeface="Segoe UI"/>
                </a:rPr>
                <a:t>None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48</xdr:row>
          <xdr:rowOff>184150</xdr:rowOff>
        </xdr:from>
        <xdr:to>
          <xdr:col>1</xdr:col>
          <xdr:colOff>1498600</xdr:colOff>
          <xdr:row>50</xdr:row>
          <xdr:rowOff>31750</xdr:rowOff>
        </xdr:to>
        <xdr:sp macro="" textlink="">
          <xdr:nvSpPr>
            <xdr:cNvPr id="2107" name="Group Box 59" hidden="1">
              <a:extLst>
                <a:ext uri="{63B3BB69-23CF-44E3-9099-C40C66FF867C}">
                  <a14:compatExt spid="_x0000_s21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831850</xdr:colOff>
          <xdr:row>49</xdr:row>
          <xdr:rowOff>0</xdr:rowOff>
        </xdr:from>
        <xdr:to>
          <xdr:col>1</xdr:col>
          <xdr:colOff>1136650</xdr:colOff>
          <xdr:row>50</xdr:row>
          <xdr:rowOff>31750</xdr:rowOff>
        </xdr:to>
        <xdr:sp macro="" textlink="">
          <xdr:nvSpPr>
            <xdr:cNvPr id="2110" name="Option Button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029" sz="800" b="0" i="0" u="none" strike="noStrike" baseline="0">
                  <a:solidFill>
                    <a:srgbClr val="000000"/>
                  </a:solidFill>
                  <a:latin typeface="Segoe UI"/>
                  <a:ea typeface="Segoe UI"/>
                  <a:cs typeface="Segoe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1117600</xdr:colOff>
          <xdr:row>49</xdr:row>
          <xdr:rowOff>0</xdr:rowOff>
        </xdr:from>
        <xdr:to>
          <xdr:col>1</xdr:col>
          <xdr:colOff>1422400</xdr:colOff>
          <xdr:row>50</xdr:row>
          <xdr:rowOff>31750</xdr:rowOff>
        </xdr:to>
        <xdr:sp macro="" textlink="">
          <xdr:nvSpPr>
            <xdr:cNvPr id="2111" name="Option Button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029" sz="800" b="0" i="0" u="none" strike="noStrike" baseline="0">
                  <a:solidFill>
                    <a:srgbClr val="000000"/>
                  </a:solidFill>
                  <a:latin typeface="Segoe UI"/>
                  <a:ea typeface="Segoe UI"/>
                  <a:cs typeface="Segoe UI"/>
                </a:rPr>
                <a:t>2</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12</xdr:col>
          <xdr:colOff>266700</xdr:colOff>
          <xdr:row>51</xdr:row>
          <xdr:rowOff>95250</xdr:rowOff>
        </xdr:to>
        <xdr:sp macro="" textlink="">
          <xdr:nvSpPr>
            <xdr:cNvPr id="7176" name="Object 8" hidden="1">
              <a:extLst>
                <a:ext uri="{63B3BB69-23CF-44E3-9099-C40C66FF867C}">
                  <a14:compatExt spid="_x0000_s71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298450</xdr:colOff>
          <xdr:row>0</xdr:row>
          <xdr:rowOff>0</xdr:rowOff>
        </xdr:from>
        <xdr:to>
          <xdr:col>24</xdr:col>
          <xdr:colOff>565150</xdr:colOff>
          <xdr:row>51</xdr:row>
          <xdr:rowOff>95250</xdr:rowOff>
        </xdr:to>
        <xdr:sp macro="" textlink="">
          <xdr:nvSpPr>
            <xdr:cNvPr id="7177" name="Object 9" hidden="1">
              <a:extLst>
                <a:ext uri="{63B3BB69-23CF-44E3-9099-C40C66FF867C}">
                  <a14:compatExt spid="_x0000_s71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rriers\Documents\From%20Other%20Sections\Stacy%20Computer\LTU%20Folder\Calculators.Simulators\PAYE%20Calculator%202018\PAYE%20Calculator%202015-1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Y.E. Calculator"/>
      <sheetName val="Employee Declaration Form"/>
      <sheetName val="Tax Rates"/>
      <sheetName val="Misc Tables"/>
      <sheetName val="Test Year Entered"/>
    </sheetNames>
    <sheetDataSet>
      <sheetData sheetId="0" refreshError="1"/>
      <sheetData sheetId="1">
        <row r="15">
          <cell r="G15">
            <v>1</v>
          </cell>
        </row>
        <row r="34">
          <cell r="G34" t="e">
            <v>#N/A</v>
          </cell>
        </row>
        <row r="35">
          <cell r="G35" t="e">
            <v>#N/A</v>
          </cell>
        </row>
        <row r="36">
          <cell r="G36">
            <v>42369</v>
          </cell>
        </row>
        <row r="37">
          <cell r="G37">
            <v>42369</v>
          </cell>
        </row>
        <row r="39">
          <cell r="G39" t="b">
            <v>0</v>
          </cell>
        </row>
        <row r="45">
          <cell r="K45">
            <v>2083.33</v>
          </cell>
        </row>
        <row r="46">
          <cell r="M46">
            <v>0</v>
          </cell>
        </row>
        <row r="49">
          <cell r="K49">
            <v>2916.67</v>
          </cell>
        </row>
      </sheetData>
      <sheetData sheetId="2" refreshError="1"/>
      <sheetData sheetId="3">
        <row r="6">
          <cell r="A6">
            <v>38717</v>
          </cell>
          <cell r="B6">
            <v>24200</v>
          </cell>
          <cell r="C6">
            <v>0.2</v>
          </cell>
          <cell r="D6">
            <v>0.375</v>
          </cell>
          <cell r="E6">
            <v>20000</v>
          </cell>
          <cell r="F6">
            <v>3000</v>
          </cell>
          <cell r="G6">
            <v>1000</v>
          </cell>
          <cell r="H6">
            <v>30000</v>
          </cell>
          <cell r="I6">
            <v>10000</v>
          </cell>
          <cell r="J6">
            <v>0.05</v>
          </cell>
          <cell r="K6">
            <v>0.1</v>
          </cell>
        </row>
        <row r="7">
          <cell r="A7">
            <v>39082</v>
          </cell>
          <cell r="B7">
            <v>24200</v>
          </cell>
          <cell r="C7">
            <v>0.2</v>
          </cell>
          <cell r="D7">
            <v>0.35</v>
          </cell>
          <cell r="E7">
            <v>22500</v>
          </cell>
          <cell r="F7">
            <v>3000</v>
          </cell>
          <cell r="G7">
            <v>1000</v>
          </cell>
          <cell r="H7">
            <v>30000</v>
          </cell>
          <cell r="I7">
            <v>10000</v>
          </cell>
          <cell r="J7">
            <v>0.05</v>
          </cell>
          <cell r="K7">
            <v>0.1</v>
          </cell>
        </row>
        <row r="8">
          <cell r="A8">
            <v>39447</v>
          </cell>
          <cell r="B8">
            <v>24200</v>
          </cell>
          <cell r="C8">
            <v>0.2</v>
          </cell>
          <cell r="D8">
            <v>0.35</v>
          </cell>
          <cell r="E8">
            <v>25000</v>
          </cell>
          <cell r="F8">
            <v>3000</v>
          </cell>
          <cell r="G8">
            <v>1000</v>
          </cell>
          <cell r="H8">
            <v>40000</v>
          </cell>
          <cell r="I8">
            <v>10000</v>
          </cell>
          <cell r="J8">
            <v>0.05</v>
          </cell>
          <cell r="K8">
            <v>0.1</v>
          </cell>
        </row>
        <row r="9">
          <cell r="A9">
            <v>39813</v>
          </cell>
          <cell r="B9">
            <v>24200</v>
          </cell>
          <cell r="C9">
            <v>0.2</v>
          </cell>
          <cell r="D9">
            <v>0.35</v>
          </cell>
          <cell r="E9">
            <v>25000</v>
          </cell>
          <cell r="F9">
            <v>3000</v>
          </cell>
          <cell r="G9">
            <v>1000</v>
          </cell>
          <cell r="H9">
            <v>40000</v>
          </cell>
          <cell r="I9">
            <v>10000</v>
          </cell>
          <cell r="J9">
            <v>0.05</v>
          </cell>
          <cell r="K9">
            <v>0.1</v>
          </cell>
        </row>
        <row r="10">
          <cell r="A10">
            <v>40178</v>
          </cell>
          <cell r="B10">
            <v>24200</v>
          </cell>
          <cell r="C10">
            <v>0.2</v>
          </cell>
          <cell r="D10">
            <v>0.35</v>
          </cell>
          <cell r="E10">
            <v>25000</v>
          </cell>
          <cell r="F10">
            <v>3000</v>
          </cell>
          <cell r="G10">
            <v>1000</v>
          </cell>
          <cell r="H10">
            <v>40000</v>
          </cell>
          <cell r="I10">
            <v>10000</v>
          </cell>
          <cell r="J10">
            <v>0.05</v>
          </cell>
          <cell r="K10">
            <v>0.1</v>
          </cell>
        </row>
        <row r="11">
          <cell r="A11">
            <v>40543</v>
          </cell>
          <cell r="B11">
            <v>24200</v>
          </cell>
          <cell r="C11">
            <v>0.2</v>
          </cell>
          <cell r="D11">
            <v>0.35</v>
          </cell>
          <cell r="E11">
            <v>25000</v>
          </cell>
          <cell r="F11">
            <v>3000</v>
          </cell>
          <cell r="G11">
            <v>1000</v>
          </cell>
          <cell r="H11">
            <v>40000</v>
          </cell>
          <cell r="I11">
            <v>10000</v>
          </cell>
          <cell r="J11">
            <v>0.05</v>
          </cell>
          <cell r="K11">
            <v>0.1</v>
          </cell>
        </row>
        <row r="12">
          <cell r="A12">
            <v>40908</v>
          </cell>
          <cell r="B12">
            <v>24200</v>
          </cell>
          <cell r="C12">
            <v>0.2</v>
          </cell>
          <cell r="D12">
            <v>0.35</v>
          </cell>
          <cell r="E12">
            <v>25000</v>
          </cell>
          <cell r="F12">
            <v>3000</v>
          </cell>
          <cell r="G12">
            <v>1000</v>
          </cell>
          <cell r="H12">
            <v>40000</v>
          </cell>
          <cell r="I12">
            <v>10000</v>
          </cell>
          <cell r="J12">
            <v>0.05</v>
          </cell>
          <cell r="K12">
            <v>0.1</v>
          </cell>
        </row>
        <row r="13">
          <cell r="A13">
            <v>40939</v>
          </cell>
          <cell r="B13">
            <v>24200</v>
          </cell>
          <cell r="C13">
            <v>0.2</v>
          </cell>
          <cell r="D13">
            <v>0.35</v>
          </cell>
          <cell r="E13">
            <v>25000</v>
          </cell>
          <cell r="F13">
            <v>3000</v>
          </cell>
          <cell r="G13">
            <v>1000</v>
          </cell>
          <cell r="H13">
            <v>40000</v>
          </cell>
          <cell r="I13">
            <v>10000</v>
          </cell>
          <cell r="J13">
            <v>0.05</v>
          </cell>
          <cell r="K13">
            <v>0.1</v>
          </cell>
        </row>
        <row r="14">
          <cell r="A14">
            <v>40968</v>
          </cell>
          <cell r="B14">
            <v>24200</v>
          </cell>
          <cell r="C14">
            <v>0.2</v>
          </cell>
          <cell r="D14">
            <v>0.35</v>
          </cell>
          <cell r="E14">
            <v>25000</v>
          </cell>
          <cell r="F14">
            <v>3000</v>
          </cell>
          <cell r="G14">
            <v>1000</v>
          </cell>
          <cell r="H14">
            <v>40000</v>
          </cell>
          <cell r="I14">
            <v>10000</v>
          </cell>
          <cell r="J14">
            <v>0.05</v>
          </cell>
          <cell r="K14">
            <v>0.1</v>
          </cell>
        </row>
        <row r="15">
          <cell r="A15">
            <v>40999</v>
          </cell>
          <cell r="B15">
            <v>24200</v>
          </cell>
          <cell r="C15">
            <v>0.2</v>
          </cell>
          <cell r="D15">
            <v>0.35</v>
          </cell>
          <cell r="E15">
            <v>25000</v>
          </cell>
          <cell r="F15">
            <v>3000</v>
          </cell>
          <cell r="G15">
            <v>1000</v>
          </cell>
          <cell r="H15">
            <v>40000</v>
          </cell>
          <cell r="I15">
            <v>10000</v>
          </cell>
          <cell r="J15">
            <v>0.05</v>
          </cell>
          <cell r="K15">
            <v>0.1</v>
          </cell>
        </row>
        <row r="16">
          <cell r="A16">
            <v>41029</v>
          </cell>
          <cell r="B16">
            <v>24200</v>
          </cell>
          <cell r="C16">
            <v>0.2</v>
          </cell>
          <cell r="D16">
            <v>0.35</v>
          </cell>
          <cell r="E16">
            <v>25000</v>
          </cell>
          <cell r="F16">
            <v>3000</v>
          </cell>
          <cell r="G16">
            <v>1000</v>
          </cell>
          <cell r="H16">
            <v>40000</v>
          </cell>
          <cell r="I16">
            <v>10000</v>
          </cell>
          <cell r="J16">
            <v>0.05</v>
          </cell>
          <cell r="K16">
            <v>0.1</v>
          </cell>
        </row>
        <row r="17">
          <cell r="A17">
            <v>41060</v>
          </cell>
          <cell r="B17">
            <v>24200</v>
          </cell>
          <cell r="C17">
            <v>0.2</v>
          </cell>
          <cell r="D17">
            <v>0.35</v>
          </cell>
          <cell r="E17">
            <v>25000</v>
          </cell>
          <cell r="F17">
            <v>3000</v>
          </cell>
          <cell r="G17">
            <v>1000</v>
          </cell>
          <cell r="H17">
            <v>40000</v>
          </cell>
          <cell r="I17">
            <v>10000</v>
          </cell>
          <cell r="J17">
            <v>0.05</v>
          </cell>
          <cell r="K17">
            <v>0.1</v>
          </cell>
        </row>
        <row r="18">
          <cell r="A18">
            <v>41090</v>
          </cell>
          <cell r="B18">
            <v>35000</v>
          </cell>
          <cell r="C18">
            <v>0.17499999999999999</v>
          </cell>
          <cell r="D18">
            <v>0.35</v>
          </cell>
          <cell r="E18">
            <v>25000</v>
          </cell>
          <cell r="F18">
            <v>3000</v>
          </cell>
          <cell r="G18">
            <v>1000</v>
          </cell>
          <cell r="H18">
            <v>40000</v>
          </cell>
          <cell r="I18">
            <v>10000</v>
          </cell>
          <cell r="J18">
            <v>0.05</v>
          </cell>
          <cell r="K18">
            <v>0.1</v>
          </cell>
        </row>
        <row r="19">
          <cell r="A19">
            <v>41121</v>
          </cell>
          <cell r="B19">
            <v>35000</v>
          </cell>
          <cell r="C19">
            <v>0.17499999999999999</v>
          </cell>
          <cell r="D19">
            <v>0.35</v>
          </cell>
          <cell r="E19">
            <v>25000</v>
          </cell>
          <cell r="F19">
            <v>3000</v>
          </cell>
          <cell r="G19">
            <v>1000</v>
          </cell>
          <cell r="H19">
            <v>40000</v>
          </cell>
          <cell r="I19">
            <v>10000</v>
          </cell>
          <cell r="J19">
            <v>0.05</v>
          </cell>
          <cell r="K19">
            <v>0.1</v>
          </cell>
        </row>
        <row r="20">
          <cell r="A20">
            <v>41152</v>
          </cell>
          <cell r="B20">
            <v>35000</v>
          </cell>
          <cell r="C20">
            <v>0.17499999999999999</v>
          </cell>
          <cell r="D20">
            <v>0.35</v>
          </cell>
          <cell r="E20">
            <v>25000</v>
          </cell>
          <cell r="F20">
            <v>3000</v>
          </cell>
          <cell r="G20">
            <v>1000</v>
          </cell>
          <cell r="H20">
            <v>40000</v>
          </cell>
          <cell r="I20">
            <v>10000</v>
          </cell>
          <cell r="J20">
            <v>0.05</v>
          </cell>
          <cell r="K20">
            <v>0.1</v>
          </cell>
        </row>
        <row r="21">
          <cell r="A21">
            <v>41182</v>
          </cell>
          <cell r="B21">
            <v>35000</v>
          </cell>
          <cell r="C21">
            <v>0.17499999999999999</v>
          </cell>
          <cell r="D21">
            <v>0.35</v>
          </cell>
          <cell r="E21">
            <v>25000</v>
          </cell>
          <cell r="F21">
            <v>3000</v>
          </cell>
          <cell r="G21">
            <v>1000</v>
          </cell>
          <cell r="H21">
            <v>40000</v>
          </cell>
          <cell r="I21">
            <v>10000</v>
          </cell>
          <cell r="J21">
            <v>0.05</v>
          </cell>
          <cell r="K21">
            <v>0.1</v>
          </cell>
        </row>
        <row r="22">
          <cell r="A22">
            <v>41213</v>
          </cell>
          <cell r="B22">
            <v>35000</v>
          </cell>
          <cell r="C22">
            <v>0.17499999999999999</v>
          </cell>
          <cell r="D22">
            <v>0.35</v>
          </cell>
          <cell r="E22">
            <v>25000</v>
          </cell>
          <cell r="F22">
            <v>3000</v>
          </cell>
          <cell r="G22">
            <v>1000</v>
          </cell>
          <cell r="H22">
            <v>40000</v>
          </cell>
          <cell r="I22">
            <v>10000</v>
          </cell>
          <cell r="J22">
            <v>0.05</v>
          </cell>
          <cell r="K22">
            <v>0.1</v>
          </cell>
        </row>
        <row r="23">
          <cell r="A23">
            <v>41243</v>
          </cell>
          <cell r="B23">
            <v>35000</v>
          </cell>
          <cell r="C23">
            <v>0.17499999999999999</v>
          </cell>
          <cell r="D23">
            <v>0.35</v>
          </cell>
          <cell r="E23">
            <v>25000</v>
          </cell>
          <cell r="F23">
            <v>3000</v>
          </cell>
          <cell r="G23">
            <v>1000</v>
          </cell>
          <cell r="H23">
            <v>40000</v>
          </cell>
          <cell r="I23">
            <v>10000</v>
          </cell>
          <cell r="J23">
            <v>0.05</v>
          </cell>
          <cell r="K23">
            <v>0.1</v>
          </cell>
        </row>
        <row r="24">
          <cell r="A24">
            <v>41274</v>
          </cell>
          <cell r="B24">
            <v>35000</v>
          </cell>
          <cell r="C24">
            <v>0.17499999999999999</v>
          </cell>
          <cell r="D24">
            <v>0.35</v>
          </cell>
          <cell r="E24">
            <v>25000</v>
          </cell>
          <cell r="F24">
            <v>3000</v>
          </cell>
          <cell r="G24">
            <v>1000</v>
          </cell>
          <cell r="H24">
            <v>40000</v>
          </cell>
          <cell r="I24">
            <v>10000</v>
          </cell>
          <cell r="J24">
            <v>0.05</v>
          </cell>
          <cell r="K24">
            <v>0.1</v>
          </cell>
        </row>
        <row r="25">
          <cell r="A25">
            <v>41639</v>
          </cell>
          <cell r="B25">
            <v>35000</v>
          </cell>
          <cell r="C25">
            <v>0.17499999999999999</v>
          </cell>
          <cell r="D25">
            <v>0.35</v>
          </cell>
          <cell r="E25">
            <v>25000</v>
          </cell>
          <cell r="F25">
            <v>3000</v>
          </cell>
          <cell r="G25">
            <v>1000</v>
          </cell>
          <cell r="H25">
            <v>40000</v>
          </cell>
          <cell r="I25">
            <v>10000</v>
          </cell>
          <cell r="J25">
            <v>0.05</v>
          </cell>
          <cell r="K25">
            <v>0.1</v>
          </cell>
        </row>
        <row r="26">
          <cell r="A26">
            <v>42004</v>
          </cell>
          <cell r="B26">
            <v>35000</v>
          </cell>
          <cell r="C26">
            <v>0.17499999999999999</v>
          </cell>
          <cell r="D26">
            <v>0.35</v>
          </cell>
          <cell r="E26">
            <v>25000</v>
          </cell>
          <cell r="F26">
            <v>3000</v>
          </cell>
          <cell r="G26">
            <v>1000</v>
          </cell>
          <cell r="H26">
            <v>40000</v>
          </cell>
          <cell r="I26">
            <v>10000</v>
          </cell>
          <cell r="J26">
            <v>0.05</v>
          </cell>
          <cell r="K26">
            <v>0.1</v>
          </cell>
        </row>
        <row r="27">
          <cell r="A27">
            <v>42369</v>
          </cell>
          <cell r="B27">
            <v>35000</v>
          </cell>
          <cell r="C27">
            <v>0.16</v>
          </cell>
          <cell r="D27">
            <v>0.33500000000000002</v>
          </cell>
          <cell r="E27">
            <v>25000</v>
          </cell>
          <cell r="F27">
            <v>3000</v>
          </cell>
          <cell r="G27">
            <v>1000</v>
          </cell>
          <cell r="H27">
            <v>40000</v>
          </cell>
          <cell r="I27">
            <v>0</v>
          </cell>
          <cell r="J27">
            <v>0</v>
          </cell>
          <cell r="K27">
            <v>0.1</v>
          </cell>
        </row>
      </sheetData>
      <sheetData sheetId="4" refreshError="1"/>
      <sheetData sheetId="5" refreshError="1"/>
    </sheetDataSet>
  </externalBook>
</externalLink>
</file>

<file path=xl/tables/table1.xml><?xml version="1.0" encoding="utf-8"?>
<table xmlns="http://schemas.openxmlformats.org/spreadsheetml/2006/main" id="3" name="Table3" displayName="Table3" ref="A5:Y18" totalsRowCount="1">
  <autoFilter ref="A5:Y17"/>
  <tableColumns count="25">
    <tableColumn id="1" name="Count" totalsRowLabel="Total" dataDxfId="59"/>
    <tableColumn id="2" name="Divide By" dataDxfId="58" totalsRowDxfId="57">
      <calculatedColumnFormula>VLOOKUP(breakdownfrequency,Table4[[#All],[Frequency]:[Divide]],2,FALSE)</calculatedColumnFormula>
    </tableColumn>
    <tableColumn id="3" name="Month" dataDxfId="56">
      <calculatedColumnFormula>EOMONTH(DATE(breakdownsalaryyear,Table3[[#This Row],[Count]],1),0)</calculatedColumnFormula>
    </tableColumn>
    <tableColumn id="4" name=" Salary" totalsRowFunction="sum" totalsRowDxfId="55" dataCellStyle="Currency">
      <calculatedColumnFormula>IF(breakdownfrequency="annual",breakdownnetincome/12,breakdownnetincome)</calculatedColumnFormula>
    </tableColumn>
    <tableColumn id="5" name="Personal Allowance" totalsRowFunction="sum" dataDxfId="54" totalsRowDxfId="53" dataCellStyle="Currency">
      <calculatedColumnFormula>personalallowance/Table3[[#This Row],[Divide By]]</calculatedColumnFormula>
    </tableColumn>
    <tableColumn id="20" name="SpouseAllowance" totalsRowFunction="sum" dataDxfId="52" totalsRowDxfId="51" dataCellStyle="Currency">
      <calculatedColumnFormula>annualspousecode/Table3[[#This Row],[Divide By]]</calculatedColumnFormula>
    </tableColumn>
    <tableColumn id="19" name="ChildAllowance" totalsRowFunction="sum" dataDxfId="50" totalsRowDxfId="49" dataCellStyle="Currency">
      <calculatedColumnFormula>annualchildcode/Table3[[#This Row],[Divide By]]</calculatedColumnFormula>
    </tableColumn>
    <tableColumn id="26" name="RRSP" totalsRowFunction="sum" dataDxfId="48" totalsRowDxfId="47" dataCellStyle="Currency">
      <calculatedColumnFormula>rrspamt/Table3[[#This Row],[Divide By]]</calculatedColumnFormula>
    </tableColumn>
    <tableColumn id="17" name="Donations" totalsRowFunction="sum" dataDxfId="46" totalsRowDxfId="45" dataCellStyle="Currency">
      <calculatedColumnFormula>annualcharity/Table3[[#This Row],[Divide By]]</calculatedColumnFormula>
    </tableColumn>
    <tableColumn id="15" name="TotalAllowance" totalsRowFunction="sum" dataDxfId="44" totalsRowDxfId="43" dataCellStyle="Currency">
      <calculatedColumnFormula>SUM(Table3[[#This Row],[Personal Allowance]:[Donations]])</calculatedColumnFormula>
    </tableColumn>
    <tableColumn id="6" name="FirstBand" totalsRowFunction="sum" dataDxfId="42" totalsRowDxfId="41">
      <calculatedColumnFormula>VLOOKUP(Table3[[#This Row],[Month]],taxratetable[#All],2,TRUE)/Table3[[#This Row],[Divide By]]</calculatedColumnFormula>
    </tableColumn>
    <tableColumn id="7" name="SecondBand" totalsRowFunction="sum" dataDxfId="40" totalsRowDxfId="39">
      <calculatedColumnFormula>VLOOKUP(Table3[[#This Row],[Month]],taxratetable[#All],3,TRUE)/Table3[[#This Row],[Divide By]]</calculatedColumnFormula>
    </tableColumn>
    <tableColumn id="9" name="FirstRate" dataDxfId="38" totalsRowDxfId="37" dataCellStyle="Percent">
      <calculatedColumnFormula>VLOOKUP(Table3[[#This Row],[Month]],taxratetable[#All],4,TRUE)</calculatedColumnFormula>
    </tableColumn>
    <tableColumn id="10" name="SecondRate" dataDxfId="36">
      <calculatedColumnFormula>VLOOKUP(Table3[[#This Row],[Month]],taxratetable[#All],5,TRUE)</calculatedColumnFormula>
    </tableColumn>
    <tableColumn id="11" name="ThirdRate" dataDxfId="35">
      <calculatedColumnFormula>VLOOKUP(Table3[[#This Row],[Month]],taxratetable[#All],6,TRUE)</calculatedColumnFormula>
    </tableColumn>
    <tableColumn id="21" name="ThirdRate??" dataDxfId="34">
      <calculatedColumnFormula>IF(Table3[[#This Row],[ThirdRate]]&gt;0,TRUE,FALSE)</calculatedColumnFormula>
    </tableColumn>
    <tableColumn id="14" name="Taxable Amount" totalsRowFunction="sum" dataDxfId="33" totalsRowDxfId="32" dataCellStyle="Currency">
      <calculatedColumnFormula>IF(Table3[[#This Row],[ Salary]]&gt;Table3[[#This Row],[TotalAllowance]],Table3[[#This Row],[ Salary]]-Table3[[#This Row],[TotalAllowance]],0)</calculatedColumnFormula>
    </tableColumn>
    <tableColumn id="8" name="Salary @ First Rate" totalsRowFunction="sum" dataDxfId="31" totalsRowDxfId="30" dataCellStyle="Currency">
      <calculatedColumnFormula>IF(Table3[[#This Row],[Taxable Amount]]&gt;Table3[[#This Row],[FirstBand]],Table3[[#This Row],[FirstBand]],IF(AND(Table3[[#This Row],[Taxable Amount]]&gt;0,OR(Table3[[#This Row],[Taxable Amount]]&lt;Table3[[#This Row],[FirstBand]],Table3[[#This Row],[Taxable Amount]]=Table3[[#This Row],[FirstBand]])),Table3[[#This Row],[Taxable Amount]],0))</calculatedColumnFormula>
    </tableColumn>
    <tableColumn id="16" name="SecondBandTest" dataDxfId="29" totalsRowDxfId="28" dataCellStyle="Percent">
      <calculatedColumnFormula>IF((Table3[[#This Row],[Taxable Amount]]-Table3[[#This Row],[Salary @ First Rate]])&gt;0,TRUE,FALSE)</calculatedColumnFormula>
    </tableColumn>
    <tableColumn id="12" name="Salary @ Second Rate" totalsRowFunction="sum" dataDxfId="27" totalsRowDxfId="26" dataCellStyle="Currency">
      <calculatedColumnFormula>IF(Table3[[#This Row],[SecondBandTest]],IF(Table3[[#This Row],[ThirdRate??]],IF((Table3[[#This Row],[Taxable Amount]]-Table3[[#This Row],[Salary @ First Rate]])&gt;Table3[[#This Row],[SecondBand]],Table3[[#This Row],[SecondBand]],Table3[[#This Row],[Taxable Amount]]-Table3[[#This Row],[Salary @ First Rate]]),Table3[[#This Row],[Taxable Amount]]-Table3[[#This Row],[Salary @ First Rate]]),0)</calculatedColumnFormula>
    </tableColumn>
    <tableColumn id="22" name="ThirdBandTest" dataDxfId="25" dataCellStyle="Currency">
      <calculatedColumnFormula>IF(AND(Table3[[#This Row],[Taxable Amount]]&gt;(Table3[[#This Row],[FirstBand]]+Table3[[#This Row],[SecondBand]]),Table3[[#This Row],[ThirdRate??]]),TRUE,FALSE)</calculatedColumnFormula>
    </tableColumn>
    <tableColumn id="13" name="Salary @ Third Rate" totalsRowFunction="sum" dataDxfId="24" totalsRowDxfId="23" dataCellStyle="Currency">
      <calculatedColumnFormula>IF(Table3[[#This Row],[ThirdBandTest]],Table3[[#This Row],[Taxable Amount]]-(Table3[[#This Row],[FirstBand]]+Table3[[#This Row],[SecondBand]]),0)</calculatedColumnFormula>
    </tableColumn>
    <tableColumn id="23" name="Tax FirstRate" totalsRowFunction="sum" totalsRowDxfId="22" dataCellStyle="Currency">
      <calculatedColumnFormula>Table3[[#This Row],[Salary @ First Rate]]*Table3[[#This Row],[FirstRate]]</calculatedColumnFormula>
    </tableColumn>
    <tableColumn id="24" name="Tax SecondRate" totalsRowFunction="sum" totalsRowDxfId="21" dataCellStyle="Currency">
      <calculatedColumnFormula>Table3[[#This Row],[Salary @ Second Rate]]*Table3[[#This Row],[SecondRate]]</calculatedColumnFormula>
    </tableColumn>
    <tableColumn id="25" name="Tax ThirdRate" totalsRowFunction="sum" totalsRowDxfId="20" dataCellStyle="Currency">
      <calculatedColumnFormula>Table3[[#This Row],[Salary @ Third Rate]]*Table3[[#This Row],[ThirdRate]]</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xratetable" displayName="taxratetable" ref="A3:P36" totalsRowShown="0">
  <autoFilter ref="A3:P36"/>
  <tableColumns count="16">
    <tableColumn id="1" name="Date" dataDxfId="19"/>
    <tableColumn id="2" name="FirstBand" dataDxfId="18"/>
    <tableColumn id="3" name="SecondBand" dataDxfId="17"/>
    <tableColumn id="4" name="FirstRate" dataDxfId="16" dataCellStyle="Percent"/>
    <tableColumn id="5" name="SecondRate" dataDxfId="15" dataCellStyle="Percent"/>
    <tableColumn id="6" name="ThirdRate" dataDxfId="14" dataCellStyle="Percent"/>
    <tableColumn id="7" name="Personal" dataDxfId="13"/>
    <tableColumn id="8" name="Spouse" dataDxfId="12"/>
    <tableColumn id="9" name="Child" dataDxfId="11"/>
    <tableColumn id="10" name="Pensioner" dataDxfId="10"/>
    <tableColumn id="11" name="RRSP" dataDxfId="9"/>
    <tableColumn id="12" name="Convenants" dataDxfId="8" dataCellStyle="Percent"/>
    <tableColumn id="13" name="Exempt Charities" dataDxfId="7" dataCellStyle="Percent"/>
    <tableColumn id="14" name="Travel Cap rate" dataDxfId="6"/>
    <tableColumn id="16" name="Travel Cap" dataDxfId="5"/>
    <tableColumn id="15" name="Housing Max" dataDxfId="4"/>
  </tableColumns>
  <tableStyleInfo name="TableStyleMedium2" showFirstColumn="0" showLastColumn="0" showRowStripes="1" showColumnStripes="0"/>
</table>
</file>

<file path=xl/tables/table3.xml><?xml version="1.0" encoding="utf-8"?>
<table xmlns="http://schemas.openxmlformats.org/spreadsheetml/2006/main" id="4" name="Table4" displayName="Table4" ref="A1:E7" totalsRowShown="0">
  <autoFilter ref="A1:E7"/>
  <tableColumns count="5">
    <tableColumn id="2" name="No"/>
    <tableColumn id="1" name="Frequency"/>
    <tableColumn id="3" name="Divide"/>
    <tableColumn id="4" name="Divide2"/>
    <tableColumn id="5" name="Coce Letter"/>
  </tableColumns>
  <tableStyleInfo name="TableStyleMedium2" showFirstColumn="0" showLastColumn="0" showRowStripes="1" showColumnStripes="0"/>
</table>
</file>

<file path=xl/tables/table4.xml><?xml version="1.0" encoding="utf-8"?>
<table xmlns="http://schemas.openxmlformats.org/spreadsheetml/2006/main" id="1" name="Table1" displayName="Table1" ref="N1:O13" totalsRowShown="0" headerRowDxfId="3" dataDxfId="2">
  <autoFilter ref="N1:O13"/>
  <tableColumns count="2">
    <tableColumn id="1" name="No." dataDxfId="1"/>
    <tableColumn id="2" name="Month"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Total@Rate"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8:N40"/>
  <sheetViews>
    <sheetView showGridLines="0" tabSelected="1" workbookViewId="0">
      <selection activeCell="D27" sqref="D27:N27"/>
    </sheetView>
  </sheetViews>
  <sheetFormatPr defaultRowHeight="14.5" x14ac:dyDescent="0.35"/>
  <cols>
    <col min="1" max="1" width="4.453125" customWidth="1"/>
    <col min="2" max="2" width="6.26953125" customWidth="1"/>
    <col min="3" max="3" width="3.54296875" customWidth="1"/>
    <col min="14" max="14" width="15.1796875" customWidth="1"/>
  </cols>
  <sheetData>
    <row r="8" spans="1:14" ht="26" x14ac:dyDescent="0.6">
      <c r="A8" s="129" t="s">
        <v>134</v>
      </c>
      <c r="B8" s="129"/>
      <c r="C8" s="129"/>
      <c r="D8" s="129"/>
      <c r="E8" s="129"/>
      <c r="F8" s="129"/>
      <c r="G8" s="129"/>
      <c r="H8" s="129"/>
      <c r="I8" s="129"/>
      <c r="J8" s="129"/>
      <c r="K8" s="129"/>
      <c r="L8" s="129"/>
      <c r="M8" s="129"/>
      <c r="N8" s="129"/>
    </row>
    <row r="9" spans="1:14" ht="18.5" x14ac:dyDescent="0.45">
      <c r="A9" s="64"/>
      <c r="B9" s="64"/>
      <c r="C9" s="64"/>
      <c r="D9" s="64"/>
      <c r="E9" s="64"/>
      <c r="F9" s="64"/>
      <c r="G9" s="64"/>
      <c r="H9" s="64"/>
      <c r="I9" s="64"/>
      <c r="J9" s="64"/>
      <c r="K9" s="64"/>
      <c r="L9" s="64"/>
      <c r="M9" s="64"/>
      <c r="N9" s="64"/>
    </row>
    <row r="10" spans="1:14" ht="111.5" customHeight="1" x14ac:dyDescent="0.35">
      <c r="A10" s="65"/>
      <c r="B10" s="130" t="s">
        <v>140</v>
      </c>
      <c r="C10" s="130"/>
      <c r="D10" s="130"/>
      <c r="E10" s="130"/>
      <c r="F10" s="130"/>
      <c r="G10" s="130"/>
      <c r="H10" s="130"/>
      <c r="I10" s="130"/>
      <c r="J10" s="130"/>
      <c r="K10" s="130"/>
      <c r="L10" s="130"/>
      <c r="M10" s="130"/>
      <c r="N10" s="130"/>
    </row>
    <row r="11" spans="1:14" ht="18.5" x14ac:dyDescent="0.45">
      <c r="A11" s="64"/>
      <c r="B11" s="131"/>
      <c r="C11" s="131"/>
      <c r="D11" s="131"/>
      <c r="E11" s="131"/>
      <c r="F11" s="131"/>
      <c r="G11" s="131"/>
      <c r="H11" s="131"/>
      <c r="I11" s="131"/>
      <c r="J11" s="131"/>
      <c r="K11" s="131"/>
      <c r="L11" s="131"/>
      <c r="M11" s="131"/>
      <c r="N11" s="131"/>
    </row>
    <row r="12" spans="1:14" ht="23.5" x14ac:dyDescent="0.45">
      <c r="A12" s="122"/>
      <c r="B12" s="132" t="s">
        <v>107</v>
      </c>
      <c r="C12" s="132"/>
      <c r="D12" s="132"/>
      <c r="E12" s="132"/>
      <c r="F12" s="132"/>
      <c r="G12" s="132"/>
      <c r="H12" s="132"/>
      <c r="I12" s="132"/>
      <c r="J12" s="132"/>
      <c r="K12" s="132"/>
      <c r="L12" s="132"/>
      <c r="M12" s="132"/>
      <c r="N12" s="132"/>
    </row>
    <row r="13" spans="1:14" ht="37.5" customHeight="1" x14ac:dyDescent="0.45">
      <c r="A13" s="122"/>
      <c r="B13" s="133" t="s">
        <v>108</v>
      </c>
      <c r="C13" s="133"/>
      <c r="D13" s="133"/>
      <c r="E13" s="133"/>
      <c r="F13" s="133"/>
      <c r="G13" s="133"/>
      <c r="H13" s="133"/>
      <c r="I13" s="133"/>
      <c r="J13" s="133"/>
      <c r="K13" s="133"/>
      <c r="L13" s="133"/>
      <c r="M13" s="133"/>
      <c r="N13" s="133"/>
    </row>
    <row r="14" spans="1:14" ht="18.75" customHeight="1" x14ac:dyDescent="0.45">
      <c r="A14" s="122"/>
      <c r="B14" s="121"/>
      <c r="C14" s="121"/>
      <c r="D14" s="121"/>
      <c r="E14" s="121"/>
      <c r="F14" s="121"/>
      <c r="G14" s="121"/>
      <c r="H14" s="121"/>
      <c r="I14" s="121"/>
      <c r="J14" s="121"/>
      <c r="K14" s="121"/>
      <c r="L14" s="121"/>
      <c r="M14" s="121"/>
      <c r="N14" s="121"/>
    </row>
    <row r="15" spans="1:14" ht="18.75" customHeight="1" x14ac:dyDescent="0.45">
      <c r="A15" s="122"/>
      <c r="B15" s="124" t="s">
        <v>113</v>
      </c>
      <c r="C15" s="134" t="s">
        <v>109</v>
      </c>
      <c r="D15" s="134"/>
      <c r="E15" s="134"/>
      <c r="F15" s="134"/>
      <c r="G15" s="134"/>
      <c r="H15" s="134"/>
      <c r="I15" s="134"/>
      <c r="J15" s="134"/>
      <c r="K15" s="134"/>
      <c r="L15" s="134"/>
      <c r="M15" s="134"/>
      <c r="N15" s="134"/>
    </row>
    <row r="16" spans="1:14" ht="18.75" customHeight="1" x14ac:dyDescent="0.45">
      <c r="A16" s="122"/>
      <c r="B16" s="121"/>
      <c r="C16" s="134"/>
      <c r="D16" s="134"/>
      <c r="E16" s="134"/>
      <c r="F16" s="134"/>
      <c r="G16" s="134"/>
      <c r="H16" s="134"/>
      <c r="I16" s="134"/>
      <c r="J16" s="134"/>
      <c r="K16" s="134"/>
      <c r="L16" s="134"/>
      <c r="M16" s="134"/>
      <c r="N16" s="134"/>
    </row>
    <row r="17" spans="1:14" ht="18.75" customHeight="1" x14ac:dyDescent="0.45">
      <c r="A17" s="122"/>
      <c r="B17" s="124" t="s">
        <v>114</v>
      </c>
      <c r="C17" s="134" t="s">
        <v>110</v>
      </c>
      <c r="D17" s="134"/>
      <c r="E17" s="134"/>
      <c r="F17" s="134"/>
      <c r="G17" s="134"/>
      <c r="H17" s="134"/>
      <c r="I17" s="134"/>
      <c r="J17" s="134"/>
      <c r="K17" s="134"/>
      <c r="L17" s="134"/>
      <c r="M17" s="134"/>
      <c r="N17" s="134"/>
    </row>
    <row r="18" spans="1:14" ht="18.75" customHeight="1" x14ac:dyDescent="0.45">
      <c r="A18" s="122"/>
      <c r="B18" s="121"/>
      <c r="C18" s="134"/>
      <c r="D18" s="134"/>
      <c r="E18" s="134"/>
      <c r="F18" s="134"/>
      <c r="G18" s="134"/>
      <c r="H18" s="134"/>
      <c r="I18" s="134"/>
      <c r="J18" s="134"/>
      <c r="K18" s="134"/>
      <c r="L18" s="134"/>
      <c r="M18" s="134"/>
      <c r="N18" s="134"/>
    </row>
    <row r="19" spans="1:14" ht="37.5" customHeight="1" x14ac:dyDescent="0.45">
      <c r="A19" s="122"/>
      <c r="B19" s="124" t="s">
        <v>115</v>
      </c>
      <c r="C19" s="134" t="s">
        <v>111</v>
      </c>
      <c r="D19" s="134"/>
      <c r="E19" s="134"/>
      <c r="F19" s="134"/>
      <c r="G19" s="134"/>
      <c r="H19" s="134"/>
      <c r="I19" s="134"/>
      <c r="J19" s="134"/>
      <c r="K19" s="134"/>
      <c r="L19" s="134"/>
      <c r="M19" s="134"/>
      <c r="N19" s="134"/>
    </row>
    <row r="20" spans="1:14" ht="18.75" customHeight="1" x14ac:dyDescent="0.45">
      <c r="A20" s="122"/>
      <c r="B20" s="121"/>
      <c r="C20" s="134"/>
      <c r="D20" s="134"/>
      <c r="E20" s="134"/>
      <c r="F20" s="134"/>
      <c r="G20" s="134"/>
      <c r="H20" s="134"/>
      <c r="I20" s="134"/>
      <c r="J20" s="134"/>
      <c r="K20" s="134"/>
      <c r="L20" s="134"/>
      <c r="M20" s="134"/>
      <c r="N20" s="134"/>
    </row>
    <row r="21" spans="1:14" ht="18.75" customHeight="1" x14ac:dyDescent="0.45">
      <c r="A21" s="122"/>
      <c r="B21" s="124" t="s">
        <v>116</v>
      </c>
      <c r="C21" s="134" t="s">
        <v>112</v>
      </c>
      <c r="D21" s="134"/>
      <c r="E21" s="134"/>
      <c r="F21" s="134"/>
      <c r="G21" s="134"/>
      <c r="H21" s="134"/>
      <c r="I21" s="134"/>
      <c r="J21" s="134"/>
      <c r="K21" s="134"/>
      <c r="L21" s="134"/>
      <c r="M21" s="134"/>
      <c r="N21" s="134"/>
    </row>
    <row r="22" spans="1:14" ht="18.75" customHeight="1" x14ac:dyDescent="0.45">
      <c r="A22" s="122"/>
      <c r="B22" s="121"/>
      <c r="C22" s="134"/>
      <c r="D22" s="134"/>
      <c r="E22" s="134"/>
      <c r="F22" s="134"/>
      <c r="G22" s="134"/>
      <c r="H22" s="134"/>
      <c r="I22" s="134"/>
      <c r="J22" s="134"/>
      <c r="K22" s="134"/>
      <c r="L22" s="134"/>
      <c r="M22" s="134"/>
      <c r="N22" s="134"/>
    </row>
    <row r="23" spans="1:14" ht="18.75" customHeight="1" x14ac:dyDescent="0.45">
      <c r="A23" s="122"/>
      <c r="B23" s="124" t="s">
        <v>117</v>
      </c>
      <c r="C23" s="134" t="s">
        <v>141</v>
      </c>
      <c r="D23" s="134"/>
      <c r="E23" s="134"/>
      <c r="F23" s="134"/>
      <c r="G23" s="134"/>
      <c r="H23" s="134"/>
      <c r="I23" s="134"/>
      <c r="J23" s="134"/>
      <c r="K23" s="134"/>
      <c r="L23" s="134"/>
      <c r="M23" s="134"/>
      <c r="N23" s="134"/>
    </row>
    <row r="24" spans="1:14" ht="18.75" customHeight="1" x14ac:dyDescent="0.45">
      <c r="A24" s="122"/>
      <c r="B24" s="121"/>
      <c r="C24" s="121"/>
      <c r="D24" s="121"/>
      <c r="E24" s="121"/>
      <c r="F24" s="121"/>
      <c r="G24" s="121"/>
      <c r="H24" s="121"/>
      <c r="I24" s="121"/>
      <c r="J24" s="121"/>
      <c r="K24" s="121"/>
      <c r="L24" s="121"/>
      <c r="M24" s="121"/>
      <c r="N24" s="121"/>
    </row>
    <row r="25" spans="1:14" ht="37.5" customHeight="1" x14ac:dyDescent="0.45">
      <c r="A25" s="122"/>
      <c r="B25" s="125"/>
      <c r="C25" s="123" t="s">
        <v>121</v>
      </c>
      <c r="D25" s="134" t="s">
        <v>119</v>
      </c>
      <c r="E25" s="134"/>
      <c r="F25" s="134"/>
      <c r="G25" s="134"/>
      <c r="H25" s="134"/>
      <c r="I25" s="134"/>
      <c r="J25" s="134"/>
      <c r="K25" s="134"/>
      <c r="L25" s="134"/>
      <c r="M25" s="134"/>
      <c r="N25" s="134"/>
    </row>
    <row r="26" spans="1:14" ht="18.75" customHeight="1" x14ac:dyDescent="0.45">
      <c r="A26" s="122"/>
      <c r="B26" s="125"/>
      <c r="C26" s="123"/>
      <c r="D26" s="134"/>
      <c r="E26" s="134"/>
      <c r="F26" s="134"/>
      <c r="G26" s="134"/>
      <c r="H26" s="134"/>
      <c r="I26" s="134"/>
      <c r="J26" s="134"/>
      <c r="K26" s="134"/>
      <c r="L26" s="134"/>
      <c r="M26" s="134"/>
      <c r="N26" s="134"/>
    </row>
    <row r="27" spans="1:14" ht="37.5" customHeight="1" x14ac:dyDescent="0.45">
      <c r="A27" s="122"/>
      <c r="B27" s="125"/>
      <c r="C27" s="123" t="s">
        <v>122</v>
      </c>
      <c r="D27" s="134" t="s">
        <v>120</v>
      </c>
      <c r="E27" s="134"/>
      <c r="F27" s="134"/>
      <c r="G27" s="134"/>
      <c r="H27" s="134"/>
      <c r="I27" s="134"/>
      <c r="J27" s="134"/>
      <c r="K27" s="134"/>
      <c r="L27" s="134"/>
      <c r="M27" s="134"/>
      <c r="N27" s="134"/>
    </row>
    <row r="28" spans="1:14" ht="18.75" customHeight="1" x14ac:dyDescent="0.45">
      <c r="A28" s="122"/>
      <c r="B28" s="125"/>
      <c r="C28" s="123"/>
      <c r="D28" s="134"/>
      <c r="E28" s="134"/>
      <c r="F28" s="134"/>
      <c r="G28" s="134"/>
      <c r="H28" s="134"/>
      <c r="I28" s="134"/>
      <c r="J28" s="134"/>
      <c r="K28" s="134"/>
      <c r="L28" s="134"/>
      <c r="M28" s="134"/>
      <c r="N28" s="134"/>
    </row>
    <row r="29" spans="1:14" ht="18.75" customHeight="1" x14ac:dyDescent="0.45">
      <c r="A29" s="122"/>
      <c r="B29" s="125"/>
      <c r="C29" s="123" t="s">
        <v>123</v>
      </c>
      <c r="D29" s="131" t="s">
        <v>118</v>
      </c>
      <c r="E29" s="131"/>
      <c r="F29" s="131"/>
      <c r="G29" s="131"/>
      <c r="H29" s="131"/>
      <c r="I29" s="131"/>
      <c r="J29" s="131"/>
      <c r="K29" s="131"/>
      <c r="L29" s="131"/>
      <c r="M29" s="131"/>
      <c r="N29" s="131"/>
    </row>
    <row r="30" spans="1:14" ht="18.75" customHeight="1" x14ac:dyDescent="0.45">
      <c r="A30" s="122"/>
      <c r="B30" s="121"/>
      <c r="C30" s="121"/>
      <c r="D30" s="121"/>
      <c r="E30" s="121"/>
      <c r="F30" s="121"/>
      <c r="G30" s="121"/>
      <c r="H30" s="121"/>
      <c r="I30" s="121"/>
      <c r="J30" s="121"/>
      <c r="K30" s="121"/>
      <c r="L30" s="121"/>
      <c r="M30" s="121"/>
      <c r="N30" s="121"/>
    </row>
    <row r="31" spans="1:14" ht="18.75" customHeight="1" x14ac:dyDescent="0.45">
      <c r="A31" s="122"/>
      <c r="B31" s="124" t="s">
        <v>125</v>
      </c>
      <c r="C31" s="134" t="s">
        <v>124</v>
      </c>
      <c r="D31" s="134"/>
      <c r="E31" s="134"/>
      <c r="F31" s="134"/>
      <c r="G31" s="134"/>
      <c r="H31" s="134"/>
      <c r="I31" s="134"/>
      <c r="J31" s="134"/>
      <c r="K31" s="134"/>
      <c r="L31" s="134"/>
      <c r="M31" s="134"/>
      <c r="N31" s="134"/>
    </row>
    <row r="32" spans="1:14" ht="18.75" customHeight="1" x14ac:dyDescent="0.45">
      <c r="A32" s="122"/>
      <c r="B32" s="124"/>
      <c r="C32" s="126"/>
      <c r="D32" s="126"/>
      <c r="E32" s="126"/>
      <c r="F32" s="126"/>
      <c r="G32" s="126"/>
      <c r="H32" s="126"/>
      <c r="I32" s="126"/>
      <c r="J32" s="126"/>
      <c r="K32" s="126"/>
      <c r="L32" s="126"/>
      <c r="M32" s="126"/>
      <c r="N32" s="126"/>
    </row>
    <row r="33" spans="1:14" ht="56.25" customHeight="1" x14ac:dyDescent="0.45">
      <c r="A33" s="122"/>
      <c r="B33" s="124" t="s">
        <v>126</v>
      </c>
      <c r="C33" s="134" t="s">
        <v>137</v>
      </c>
      <c r="D33" s="134"/>
      <c r="E33" s="134"/>
      <c r="F33" s="134"/>
      <c r="G33" s="134"/>
      <c r="H33" s="134"/>
      <c r="I33" s="134"/>
      <c r="J33" s="134"/>
      <c r="K33" s="134"/>
      <c r="L33" s="134"/>
      <c r="M33" s="134"/>
      <c r="N33" s="134"/>
    </row>
    <row r="34" spans="1:14" ht="18.75" customHeight="1" x14ac:dyDescent="0.45">
      <c r="A34" s="122"/>
      <c r="B34" s="121"/>
      <c r="C34" s="134"/>
      <c r="D34" s="134"/>
      <c r="E34" s="134"/>
      <c r="F34" s="134"/>
      <c r="G34" s="134"/>
      <c r="H34" s="134"/>
      <c r="I34" s="134"/>
      <c r="J34" s="134"/>
      <c r="K34" s="134"/>
      <c r="L34" s="134"/>
      <c r="M34" s="134"/>
      <c r="N34" s="134"/>
    </row>
    <row r="35" spans="1:14" ht="75" customHeight="1" x14ac:dyDescent="0.45">
      <c r="A35" s="122"/>
      <c r="B35" s="124" t="s">
        <v>127</v>
      </c>
      <c r="C35" s="134" t="s">
        <v>138</v>
      </c>
      <c r="D35" s="134"/>
      <c r="E35" s="134"/>
      <c r="F35" s="134"/>
      <c r="G35" s="134"/>
      <c r="H35" s="134"/>
      <c r="I35" s="134"/>
      <c r="J35" s="134"/>
      <c r="K35" s="134"/>
      <c r="L35" s="134"/>
      <c r="M35" s="134"/>
      <c r="N35" s="134"/>
    </row>
    <row r="36" spans="1:14" ht="18.75" customHeight="1" x14ac:dyDescent="0.45">
      <c r="A36" s="122"/>
      <c r="B36" s="121"/>
      <c r="C36" s="134"/>
      <c r="D36" s="134"/>
      <c r="E36" s="134"/>
      <c r="F36" s="134"/>
      <c r="G36" s="134"/>
      <c r="H36" s="134"/>
      <c r="I36" s="134"/>
      <c r="J36" s="134"/>
      <c r="K36" s="134"/>
      <c r="L36" s="134"/>
      <c r="M36" s="134"/>
      <c r="N36" s="134"/>
    </row>
    <row r="37" spans="1:14" ht="37.5" customHeight="1" x14ac:dyDescent="0.45">
      <c r="A37" s="122"/>
      <c r="B37" s="124" t="s">
        <v>128</v>
      </c>
      <c r="C37" s="134" t="s">
        <v>139</v>
      </c>
      <c r="D37" s="134"/>
      <c r="E37" s="134"/>
      <c r="F37" s="134"/>
      <c r="G37" s="134"/>
      <c r="H37" s="134"/>
      <c r="I37" s="134"/>
      <c r="J37" s="134"/>
      <c r="K37" s="134"/>
      <c r="L37" s="134"/>
      <c r="M37" s="134"/>
      <c r="N37" s="134"/>
    </row>
    <row r="38" spans="1:14" ht="18.75" customHeight="1" x14ac:dyDescent="0.45">
      <c r="A38" s="122"/>
      <c r="B38" s="121"/>
      <c r="C38" s="121"/>
      <c r="D38" s="121"/>
      <c r="E38" s="121"/>
      <c r="F38" s="121"/>
      <c r="G38" s="121"/>
      <c r="H38" s="121"/>
      <c r="I38" s="121"/>
      <c r="J38" s="121"/>
      <c r="K38" s="121"/>
      <c r="L38" s="121"/>
      <c r="M38" s="121"/>
      <c r="N38" s="121"/>
    </row>
    <row r="39" spans="1:14" ht="18.5" x14ac:dyDescent="0.45">
      <c r="A39" s="64"/>
      <c r="B39" s="128" t="s">
        <v>97</v>
      </c>
      <c r="C39" s="128"/>
      <c r="D39" s="128"/>
      <c r="E39" s="128"/>
      <c r="F39" s="128"/>
      <c r="G39" s="128"/>
      <c r="H39" s="128"/>
      <c r="I39" s="128"/>
      <c r="J39" s="128"/>
      <c r="K39" s="128"/>
      <c r="L39" s="128"/>
      <c r="M39" s="128"/>
      <c r="N39" s="128"/>
    </row>
    <row r="40" spans="1:14" ht="18.5" x14ac:dyDescent="0.45">
      <c r="A40" s="64"/>
      <c r="B40" s="128" t="s">
        <v>98</v>
      </c>
      <c r="C40" s="128"/>
      <c r="D40" s="128"/>
      <c r="E40" s="128"/>
      <c r="F40" s="128"/>
      <c r="G40" s="128"/>
      <c r="H40" s="128"/>
      <c r="I40" s="128"/>
      <c r="J40" s="128"/>
      <c r="K40" s="128"/>
      <c r="L40" s="128"/>
      <c r="M40" s="128"/>
      <c r="N40" s="128"/>
    </row>
  </sheetData>
  <sheetProtection algorithmName="SHA-512" hashValue="ZM/JFb7fVYEZfUrmN3umtqRX+3iNvq3g4bsmT+0evDM4FRW53FSgHWcmeaJ9xt/D8r5aXot7J4MLrHBmslMjkQ==" saltValue="1fFMKQFx0XjpkZCQEtuLEw==" spinCount="100000" sheet="1" objects="1" scenarios="1"/>
  <mergeCells count="27">
    <mergeCell ref="C37:N37"/>
    <mergeCell ref="C31:N31"/>
    <mergeCell ref="C33:N33"/>
    <mergeCell ref="C34:N34"/>
    <mergeCell ref="C35:N35"/>
    <mergeCell ref="C36:N36"/>
    <mergeCell ref="D25:N25"/>
    <mergeCell ref="D26:N26"/>
    <mergeCell ref="D27:N27"/>
    <mergeCell ref="D28:N28"/>
    <mergeCell ref="D29:N29"/>
    <mergeCell ref="B40:N40"/>
    <mergeCell ref="A8:N8"/>
    <mergeCell ref="B10:N10"/>
    <mergeCell ref="B11:N11"/>
    <mergeCell ref="B12:N12"/>
    <mergeCell ref="B13:N13"/>
    <mergeCell ref="C20:N20"/>
    <mergeCell ref="C21:N21"/>
    <mergeCell ref="C22:N22"/>
    <mergeCell ref="C23:N23"/>
    <mergeCell ref="B39:N39"/>
    <mergeCell ref="C15:N15"/>
    <mergeCell ref="C16:N16"/>
    <mergeCell ref="C17:N17"/>
    <mergeCell ref="C18:N18"/>
    <mergeCell ref="C19:N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68"/>
  <sheetViews>
    <sheetView showGridLines="0" topLeftCell="A16" zoomScale="110" zoomScaleNormal="110" workbookViewId="0">
      <selection activeCell="M31" sqref="M31"/>
    </sheetView>
  </sheetViews>
  <sheetFormatPr defaultRowHeight="14.5" x14ac:dyDescent="0.35"/>
  <cols>
    <col min="2" max="2" width="33.26953125" customWidth="1"/>
    <col min="3" max="3" width="23.7265625" customWidth="1"/>
    <col min="4" max="5" width="20.7265625" hidden="1" customWidth="1"/>
    <col min="6" max="6" width="20.7265625" customWidth="1"/>
    <col min="7" max="7" width="12.1796875" hidden="1" customWidth="1"/>
    <col min="8" max="8" width="14.453125" hidden="1" customWidth="1"/>
    <col min="9" max="11" width="14.1796875" hidden="1" customWidth="1"/>
    <col min="12" max="12" width="2" customWidth="1"/>
    <col min="13" max="13" width="36.54296875" customWidth="1"/>
    <col min="14" max="14" width="29" customWidth="1"/>
    <col min="15" max="21" width="20.1796875" hidden="1" customWidth="1"/>
    <col min="22" max="22" width="14.1796875" hidden="1" customWidth="1"/>
    <col min="23" max="23" width="23.7265625" customWidth="1"/>
  </cols>
  <sheetData>
    <row r="1" spans="1:24" ht="70.5" customHeight="1" x14ac:dyDescent="0.35">
      <c r="A1" s="135"/>
      <c r="B1" s="135"/>
      <c r="C1" s="135"/>
      <c r="D1" s="135"/>
      <c r="E1" s="135"/>
      <c r="F1" s="135"/>
      <c r="G1" s="135"/>
      <c r="H1" s="135"/>
      <c r="I1" s="135"/>
      <c r="J1" s="135"/>
      <c r="K1" s="135"/>
      <c r="L1" s="135"/>
      <c r="M1" s="135"/>
      <c r="N1" s="135"/>
      <c r="O1" s="135"/>
      <c r="P1" s="135"/>
      <c r="Q1" s="135"/>
      <c r="R1" s="135"/>
      <c r="S1" s="135"/>
      <c r="T1" s="135"/>
      <c r="U1" s="135"/>
      <c r="V1" s="135"/>
    </row>
    <row r="2" spans="1:24" ht="26" x14ac:dyDescent="0.65">
      <c r="A2" s="138" t="s">
        <v>133</v>
      </c>
      <c r="B2" s="138"/>
      <c r="C2" s="138"/>
      <c r="D2" s="138"/>
      <c r="E2" s="138"/>
      <c r="F2" s="138"/>
      <c r="G2" s="138"/>
      <c r="H2" s="138"/>
      <c r="I2" s="138"/>
      <c r="J2" s="138"/>
      <c r="K2" s="138"/>
      <c r="L2" s="138"/>
      <c r="M2" s="138"/>
      <c r="N2" s="138"/>
      <c r="O2" s="138"/>
      <c r="P2" s="138"/>
      <c r="Q2" s="138"/>
      <c r="R2" s="138"/>
      <c r="S2" s="138"/>
      <c r="T2" s="138"/>
      <c r="U2" s="138"/>
      <c r="V2" s="138"/>
      <c r="W2" s="81"/>
      <c r="X2" s="81"/>
    </row>
    <row r="3" spans="1:24" ht="15" hidden="1" customHeight="1" x14ac:dyDescent="0.35">
      <c r="A3" s="24"/>
      <c r="B3" s="24"/>
      <c r="C3" s="24"/>
      <c r="D3" s="24"/>
      <c r="E3" s="24"/>
      <c r="F3" s="24"/>
      <c r="G3" s="136" t="s">
        <v>26</v>
      </c>
      <c r="H3" s="136"/>
      <c r="I3" s="24"/>
      <c r="J3" s="24"/>
      <c r="K3" s="24"/>
      <c r="L3" s="82"/>
      <c r="M3" s="3"/>
      <c r="N3" s="3"/>
      <c r="O3" s="3"/>
      <c r="P3" s="3"/>
      <c r="Q3" s="3"/>
      <c r="R3" s="3"/>
      <c r="S3" s="3"/>
      <c r="T3" s="3"/>
      <c r="U3" s="3"/>
      <c r="V3" s="3"/>
      <c r="W3" s="81"/>
      <c r="X3" s="81"/>
    </row>
    <row r="4" spans="1:24" ht="15" hidden="1" customHeight="1" x14ac:dyDescent="0.35">
      <c r="A4" s="24"/>
      <c r="B4" s="24"/>
      <c r="C4" s="24"/>
      <c r="D4" s="24"/>
      <c r="E4" s="24"/>
      <c r="F4" s="24"/>
      <c r="G4" s="54" t="s">
        <v>27</v>
      </c>
      <c r="H4" s="55">
        <f ca="1">TODAY()</f>
        <v>43665</v>
      </c>
      <c r="I4" s="24"/>
      <c r="J4" s="24"/>
      <c r="K4" s="24"/>
      <c r="L4" s="82"/>
      <c r="M4" s="3"/>
      <c r="N4" s="3"/>
      <c r="O4" s="3"/>
      <c r="P4" s="3"/>
      <c r="Q4" s="3"/>
      <c r="R4" s="3"/>
      <c r="S4" s="3"/>
      <c r="T4" s="3"/>
      <c r="U4" s="3"/>
      <c r="V4" s="3"/>
      <c r="W4" s="81"/>
      <c r="X4" s="81"/>
    </row>
    <row r="5" spans="1:24" ht="15" hidden="1" customHeight="1" x14ac:dyDescent="0.35">
      <c r="A5" s="24"/>
      <c r="B5" s="24"/>
      <c r="C5" s="24"/>
      <c r="D5" s="24"/>
      <c r="E5" s="24"/>
      <c r="F5" s="24"/>
      <c r="G5" s="54" t="s">
        <v>28</v>
      </c>
      <c r="H5" s="24">
        <f ca="1">MAX(YEAR(todaydate),YEAR(MAX(taxratetable[Date])))</f>
        <v>2020</v>
      </c>
      <c r="I5" s="24"/>
      <c r="J5" s="24"/>
      <c r="K5" s="24"/>
      <c r="L5" s="82"/>
      <c r="M5" s="3"/>
      <c r="N5" s="3"/>
      <c r="O5" s="3"/>
      <c r="P5" s="3"/>
      <c r="Q5" s="3"/>
      <c r="R5" s="3"/>
      <c r="S5" s="3"/>
      <c r="T5" s="3"/>
      <c r="U5" s="3"/>
      <c r="V5" s="3"/>
      <c r="W5" s="81"/>
      <c r="X5" s="81"/>
    </row>
    <row r="6" spans="1:24" ht="15" hidden="1" customHeight="1" x14ac:dyDescent="0.35">
      <c r="A6" s="24"/>
      <c r="B6" s="24"/>
      <c r="C6" s="24"/>
      <c r="D6" s="24"/>
      <c r="E6" s="24"/>
      <c r="F6" s="24"/>
      <c r="G6" s="54" t="s">
        <v>29</v>
      </c>
      <c r="H6" s="56">
        <f>YEAR(MIN(taxratetable[Date]))</f>
        <v>2013</v>
      </c>
      <c r="I6" s="24"/>
      <c r="J6" s="24"/>
      <c r="K6" s="24"/>
      <c r="L6" s="82"/>
      <c r="M6" s="3"/>
      <c r="N6" s="3"/>
      <c r="O6" s="3"/>
      <c r="P6" s="3"/>
      <c r="Q6" s="3"/>
      <c r="R6" s="3"/>
      <c r="S6" s="3"/>
      <c r="T6" s="3"/>
      <c r="U6" s="3"/>
      <c r="V6" s="3"/>
      <c r="W6" s="81"/>
      <c r="X6" s="81"/>
    </row>
    <row r="7" spans="1:24" ht="15" hidden="1" customHeight="1" x14ac:dyDescent="0.35">
      <c r="A7" s="24"/>
      <c r="B7" s="24"/>
      <c r="C7" s="24"/>
      <c r="D7" s="24"/>
      <c r="E7" s="24"/>
      <c r="F7" s="24"/>
      <c r="G7" s="54" t="s">
        <v>53</v>
      </c>
      <c r="H7" s="57">
        <f>IFERROR(EOMONTH(DATE(salaryyear,IF(ISBLANK(calmonth),12,VLOOKUP(calmonth,salarymonth,4,FALSE)),1),0),0)</f>
        <v>366</v>
      </c>
      <c r="I7" s="24"/>
      <c r="J7" s="24"/>
      <c r="K7" s="24"/>
      <c r="L7" s="82"/>
      <c r="M7" s="3"/>
      <c r="N7" s="3"/>
      <c r="O7" s="3"/>
      <c r="P7" s="3"/>
      <c r="Q7" s="3"/>
      <c r="R7" s="3"/>
      <c r="S7" s="3"/>
      <c r="T7" s="3"/>
      <c r="U7" s="3"/>
      <c r="V7" s="3"/>
      <c r="W7" s="81"/>
      <c r="X7" s="81"/>
    </row>
    <row r="8" spans="1:24" ht="15" hidden="1" customHeight="1" x14ac:dyDescent="0.35">
      <c r="A8" s="24"/>
      <c r="B8" s="24"/>
      <c r="C8" s="24"/>
      <c r="D8" s="24"/>
      <c r="E8" s="24"/>
      <c r="F8" s="24"/>
      <c r="G8" s="54"/>
      <c r="H8" s="24"/>
      <c r="I8" s="24"/>
      <c r="J8" s="24"/>
      <c r="K8" s="24"/>
      <c r="L8" s="82"/>
      <c r="M8" s="3"/>
      <c r="N8" s="3"/>
      <c r="O8" s="3"/>
      <c r="P8" s="3"/>
      <c r="Q8" s="3"/>
      <c r="R8" s="3"/>
      <c r="S8" s="3"/>
      <c r="T8" s="3"/>
      <c r="U8" s="3"/>
      <c r="V8" s="3"/>
      <c r="W8" s="81"/>
      <c r="X8" s="81"/>
    </row>
    <row r="9" spans="1:24" ht="15" hidden="1" customHeight="1" x14ac:dyDescent="0.35">
      <c r="A9" s="24"/>
      <c r="B9" s="24"/>
      <c r="C9" s="24"/>
      <c r="D9" s="24"/>
      <c r="E9" s="24"/>
      <c r="F9" s="24"/>
      <c r="G9" s="54" t="s">
        <v>30</v>
      </c>
      <c r="H9" s="24" t="b">
        <f ca="1">IF(OR(AND(H16,H17,H30,H32),IF(AND(freqtest=6,AND(H16,H17,H32)),TRUE,FALSE)),TRUE,FALSE)</f>
        <v>0</v>
      </c>
      <c r="I9" s="24"/>
      <c r="J9" s="24"/>
      <c r="K9" s="24"/>
      <c r="L9" s="82"/>
      <c r="M9" s="3"/>
      <c r="N9" s="3"/>
      <c r="O9" s="3"/>
      <c r="P9" s="3"/>
      <c r="Q9" s="3"/>
      <c r="R9" s="3"/>
      <c r="S9" s="3"/>
      <c r="T9" s="3"/>
      <c r="U9" s="3"/>
      <c r="V9" s="3"/>
      <c r="W9" s="81"/>
      <c r="X9" s="81"/>
    </row>
    <row r="10" spans="1:24" ht="15" hidden="1" customHeight="1" x14ac:dyDescent="0.35">
      <c r="A10" s="24"/>
      <c r="B10" s="24"/>
      <c r="C10" s="24"/>
      <c r="D10" s="24"/>
      <c r="E10" s="24"/>
      <c r="F10" s="24"/>
      <c r="G10" s="24"/>
      <c r="H10" s="24"/>
      <c r="I10" s="24"/>
      <c r="J10" s="24"/>
      <c r="K10" s="24"/>
      <c r="L10" s="82"/>
      <c r="M10" s="3"/>
      <c r="N10" s="3"/>
      <c r="O10" s="3"/>
      <c r="P10" s="3"/>
      <c r="Q10" s="3"/>
      <c r="R10" s="3"/>
      <c r="S10" s="3"/>
      <c r="T10" s="3"/>
      <c r="U10" s="3"/>
      <c r="V10" s="3"/>
      <c r="W10" s="81"/>
      <c r="X10" s="81"/>
    </row>
    <row r="11" spans="1:24" ht="15" hidden="1" customHeight="1" x14ac:dyDescent="0.35">
      <c r="A11" s="24"/>
      <c r="B11" s="24"/>
      <c r="C11" s="24"/>
      <c r="D11" s="24"/>
      <c r="E11" s="24"/>
      <c r="F11" s="24"/>
      <c r="G11" s="24"/>
      <c r="H11" s="24"/>
      <c r="I11" s="24"/>
      <c r="J11" s="24"/>
      <c r="K11" s="24"/>
      <c r="L11" s="82"/>
      <c r="M11" s="3"/>
      <c r="N11" s="3"/>
      <c r="O11" s="3"/>
      <c r="P11" s="3"/>
      <c r="Q11" s="3"/>
      <c r="R11" s="3"/>
      <c r="S11" s="3"/>
      <c r="T11" s="3"/>
      <c r="U11" s="3"/>
      <c r="V11" s="3"/>
      <c r="W11" s="81"/>
      <c r="X11" s="81"/>
    </row>
    <row r="12" spans="1:24" ht="15" hidden="1" customHeight="1" x14ac:dyDescent="0.35">
      <c r="A12" s="24"/>
      <c r="B12" s="24"/>
      <c r="C12" s="24"/>
      <c r="D12" s="24"/>
      <c r="E12" s="24"/>
      <c r="F12" s="24"/>
      <c r="G12" s="24"/>
      <c r="H12" s="24"/>
      <c r="I12" s="24"/>
      <c r="J12" s="24"/>
      <c r="K12" s="24"/>
      <c r="L12" s="82"/>
      <c r="M12" s="3"/>
      <c r="N12" s="3"/>
      <c r="O12" s="3"/>
      <c r="P12" s="3"/>
      <c r="Q12" s="3"/>
      <c r="R12" s="3"/>
      <c r="S12" s="3"/>
      <c r="T12" s="3"/>
      <c r="U12" s="3"/>
      <c r="V12" s="3"/>
      <c r="W12" s="81"/>
      <c r="X12" s="81"/>
    </row>
    <row r="13" spans="1:24" x14ac:dyDescent="0.35">
      <c r="A13" s="145"/>
      <c r="B13" s="145"/>
      <c r="C13" s="145"/>
      <c r="D13" s="145"/>
      <c r="E13" s="145"/>
      <c r="F13" s="145"/>
      <c r="G13" s="145"/>
      <c r="H13" s="145"/>
      <c r="I13" s="145"/>
      <c r="J13" s="145"/>
      <c r="K13" s="145"/>
      <c r="L13" s="145"/>
      <c r="M13" s="145"/>
      <c r="N13" s="145"/>
      <c r="O13" s="145"/>
      <c r="P13" s="145"/>
      <c r="Q13" s="145"/>
      <c r="R13" s="145"/>
      <c r="S13" s="145"/>
      <c r="T13" s="145"/>
      <c r="U13" s="145"/>
      <c r="V13" s="145"/>
      <c r="W13" s="145"/>
      <c r="X13" s="145"/>
    </row>
    <row r="14" spans="1:24" ht="15" thickBot="1" x14ac:dyDescent="0.4">
      <c r="A14" s="145"/>
      <c r="B14" s="145"/>
      <c r="C14" s="145"/>
      <c r="D14" s="145"/>
      <c r="E14" s="145"/>
      <c r="F14" s="145"/>
      <c r="G14" s="145"/>
      <c r="H14" s="145"/>
      <c r="I14" s="145"/>
      <c r="J14" s="145"/>
      <c r="K14" s="145"/>
      <c r="L14" s="145"/>
      <c r="M14" s="145"/>
      <c r="N14" s="145"/>
      <c r="O14" s="145"/>
      <c r="P14" s="145"/>
      <c r="Q14" s="145"/>
      <c r="R14" s="145"/>
      <c r="S14" s="145"/>
      <c r="T14" s="145"/>
      <c r="U14" s="145"/>
      <c r="V14" s="145"/>
      <c r="W14" s="145"/>
      <c r="X14" s="145"/>
    </row>
    <row r="15" spans="1:24" ht="16" thickBot="1" x14ac:dyDescent="0.4">
      <c r="A15" s="81"/>
      <c r="B15" s="98"/>
      <c r="C15" s="99" t="s">
        <v>80</v>
      </c>
      <c r="D15" s="100"/>
      <c r="E15" s="100"/>
      <c r="F15" s="101"/>
      <c r="G15" s="24"/>
      <c r="H15" s="24"/>
      <c r="I15" s="24"/>
      <c r="J15" s="24"/>
      <c r="K15" s="24"/>
      <c r="L15" s="82"/>
      <c r="M15" s="84"/>
      <c r="N15" s="142" t="s">
        <v>91</v>
      </c>
      <c r="O15" s="143"/>
      <c r="P15" s="143"/>
      <c r="Q15" s="143"/>
      <c r="R15" s="143"/>
      <c r="S15" s="143"/>
      <c r="T15" s="143"/>
      <c r="U15" s="143"/>
      <c r="V15" s="143"/>
      <c r="W15" s="144"/>
      <c r="X15" s="81"/>
    </row>
    <row r="16" spans="1:24" x14ac:dyDescent="0.35">
      <c r="A16" s="81"/>
      <c r="B16" s="66" t="s">
        <v>19</v>
      </c>
      <c r="C16" s="80"/>
      <c r="D16" s="36"/>
      <c r="E16" s="36"/>
      <c r="F16" s="37"/>
      <c r="G16" s="24"/>
      <c r="H16" s="24" t="b">
        <f ca="1">IF(OR(salaryyear&lt;calminyear,salaryyear&gt;calmaxyear),FALSE,TRUE)</f>
        <v>0</v>
      </c>
      <c r="I16" s="24"/>
      <c r="J16" s="24"/>
      <c r="K16" s="24"/>
      <c r="L16" s="82"/>
      <c r="M16" s="84" t="str">
        <f ca="1">IF(H16,"","Please enter a valid year "&amp;calminyear&amp;" to "&amp;calmaxyear )</f>
        <v>Please enter a valid year 2013 to 2020</v>
      </c>
      <c r="N16" s="88" t="s">
        <v>94</v>
      </c>
      <c r="O16" s="112"/>
      <c r="P16" s="112"/>
      <c r="Q16" s="112"/>
      <c r="R16" s="112"/>
      <c r="S16" s="112"/>
      <c r="T16" s="112"/>
      <c r="U16" s="112"/>
      <c r="V16" s="112"/>
      <c r="W16" s="28">
        <f ca="1">netincome</f>
        <v>0</v>
      </c>
      <c r="X16" s="81"/>
    </row>
    <row r="17" spans="1:24" x14ac:dyDescent="0.35">
      <c r="A17" s="81"/>
      <c r="B17" s="67" t="s">
        <v>99</v>
      </c>
      <c r="C17" s="39"/>
      <c r="D17" s="33"/>
      <c r="E17" s="33"/>
      <c r="F17" s="30"/>
      <c r="G17" s="24"/>
      <c r="H17" s="24" t="b">
        <f>IF(freqtest&gt;1,TRUE,FALSE)</f>
        <v>0</v>
      </c>
      <c r="I17" s="24">
        <v>1</v>
      </c>
      <c r="J17" s="24">
        <f>VLOOKUP(freqtest,Table4[#All],3,FALSE)</f>
        <v>0</v>
      </c>
      <c r="K17" s="24"/>
      <c r="L17" s="82"/>
      <c r="M17" s="84" t="str">
        <f>IF(freqtest&gt;1,"","Please enter Salary Frequency")</f>
        <v>Please enter Salary Frequency</v>
      </c>
      <c r="N17" s="88" t="s">
        <v>81</v>
      </c>
      <c r="O17" s="112"/>
      <c r="P17" s="112"/>
      <c r="Q17" s="112"/>
      <c r="R17" s="112"/>
      <c r="S17" s="112"/>
      <c r="T17" s="112"/>
      <c r="U17" s="112"/>
      <c r="V17" s="112"/>
      <c r="W17" s="29">
        <f>totalallowances</f>
        <v>0</v>
      </c>
      <c r="X17" s="81"/>
    </row>
    <row r="18" spans="1:24" ht="15" hidden="1" customHeight="1" x14ac:dyDescent="0.35">
      <c r="A18" s="81"/>
      <c r="B18" s="68"/>
      <c r="C18" s="40" t="s">
        <v>31</v>
      </c>
      <c r="D18" s="33"/>
      <c r="E18" s="33"/>
      <c r="F18" s="38">
        <v>1</v>
      </c>
      <c r="G18" s="24"/>
      <c r="H18" s="24"/>
      <c r="I18" s="24"/>
      <c r="J18" s="24"/>
      <c r="K18" s="24"/>
      <c r="L18" s="82"/>
      <c r="M18" s="83"/>
      <c r="N18" s="113"/>
      <c r="O18" s="112"/>
      <c r="P18" s="112"/>
      <c r="Q18" s="112"/>
      <c r="R18" s="112"/>
      <c r="S18" s="112"/>
      <c r="T18" s="112"/>
      <c r="U18" s="112"/>
      <c r="V18" s="112"/>
      <c r="W18" s="114"/>
      <c r="X18" s="81"/>
    </row>
    <row r="19" spans="1:24" ht="15" hidden="1" customHeight="1" x14ac:dyDescent="0.35">
      <c r="A19" s="81"/>
      <c r="B19" s="68"/>
      <c r="C19" s="40" t="s">
        <v>32</v>
      </c>
      <c r="D19" s="33"/>
      <c r="E19" s="33"/>
      <c r="F19" s="38">
        <v>2</v>
      </c>
      <c r="G19" s="24"/>
      <c r="H19" s="24"/>
      <c r="I19" s="24"/>
      <c r="J19" s="24"/>
      <c r="K19" s="24"/>
      <c r="L19" s="82"/>
      <c r="M19" s="83"/>
      <c r="N19" s="113"/>
      <c r="O19" s="112"/>
      <c r="P19" s="112"/>
      <c r="Q19" s="112"/>
      <c r="R19" s="112"/>
      <c r="S19" s="112"/>
      <c r="T19" s="112"/>
      <c r="U19" s="112"/>
      <c r="V19" s="112"/>
      <c r="W19" s="114"/>
      <c r="X19" s="81"/>
    </row>
    <row r="20" spans="1:24" ht="15" hidden="1" customHeight="1" x14ac:dyDescent="0.35">
      <c r="A20" s="81"/>
      <c r="B20" s="68"/>
      <c r="C20" s="40" t="s">
        <v>33</v>
      </c>
      <c r="D20" s="33"/>
      <c r="E20" s="33"/>
      <c r="F20" s="38">
        <v>3</v>
      </c>
      <c r="G20" s="24"/>
      <c r="H20" s="24"/>
      <c r="I20" s="24"/>
      <c r="J20" s="24"/>
      <c r="K20" s="24"/>
      <c r="L20" s="82"/>
      <c r="M20" s="83"/>
      <c r="N20" s="113"/>
      <c r="O20" s="112"/>
      <c r="P20" s="112"/>
      <c r="Q20" s="112"/>
      <c r="R20" s="112"/>
      <c r="S20" s="112"/>
      <c r="T20" s="112"/>
      <c r="U20" s="112"/>
      <c r="V20" s="112"/>
      <c r="W20" s="114"/>
      <c r="X20" s="81"/>
    </row>
    <row r="21" spans="1:24" ht="15" hidden="1" customHeight="1" x14ac:dyDescent="0.35">
      <c r="A21" s="81"/>
      <c r="B21" s="68"/>
      <c r="C21" s="40" t="s">
        <v>34</v>
      </c>
      <c r="D21" s="33"/>
      <c r="E21" s="33"/>
      <c r="F21" s="38">
        <f>F20+1</f>
        <v>4</v>
      </c>
      <c r="G21" s="24"/>
      <c r="H21" s="24"/>
      <c r="I21" s="24"/>
      <c r="J21" s="24"/>
      <c r="K21" s="24"/>
      <c r="L21" s="82"/>
      <c r="M21" s="83"/>
      <c r="N21" s="113"/>
      <c r="O21" s="112"/>
      <c r="P21" s="112"/>
      <c r="Q21" s="112"/>
      <c r="R21" s="112"/>
      <c r="S21" s="112"/>
      <c r="T21" s="112"/>
      <c r="U21" s="112"/>
      <c r="V21" s="112"/>
      <c r="W21" s="114"/>
      <c r="X21" s="81"/>
    </row>
    <row r="22" spans="1:24" ht="15" hidden="1" customHeight="1" x14ac:dyDescent="0.35">
      <c r="A22" s="81"/>
      <c r="B22" s="68"/>
      <c r="C22" s="40" t="s">
        <v>35</v>
      </c>
      <c r="D22" s="33"/>
      <c r="E22" s="33"/>
      <c r="F22" s="38">
        <f t="shared" ref="F22:F29" si="0">F21+1</f>
        <v>5</v>
      </c>
      <c r="G22" s="24"/>
      <c r="H22" s="24"/>
      <c r="I22" s="24"/>
      <c r="J22" s="24"/>
      <c r="K22" s="24"/>
      <c r="L22" s="82"/>
      <c r="M22" s="83"/>
      <c r="N22" s="113"/>
      <c r="O22" s="112"/>
      <c r="P22" s="112"/>
      <c r="Q22" s="112"/>
      <c r="R22" s="112"/>
      <c r="S22" s="112"/>
      <c r="T22" s="112"/>
      <c r="U22" s="112"/>
      <c r="V22" s="112"/>
      <c r="W22" s="114"/>
      <c r="X22" s="81"/>
    </row>
    <row r="23" spans="1:24" ht="15" hidden="1" customHeight="1" x14ac:dyDescent="0.35">
      <c r="A23" s="81"/>
      <c r="B23" s="68"/>
      <c r="C23" s="40" t="s">
        <v>36</v>
      </c>
      <c r="D23" s="33"/>
      <c r="E23" s="33"/>
      <c r="F23" s="38">
        <f t="shared" si="0"/>
        <v>6</v>
      </c>
      <c r="G23" s="24"/>
      <c r="H23" s="24"/>
      <c r="I23" s="24"/>
      <c r="J23" s="24"/>
      <c r="K23" s="24"/>
      <c r="L23" s="82"/>
      <c r="M23" s="83"/>
      <c r="N23" s="113"/>
      <c r="O23" s="112"/>
      <c r="P23" s="112"/>
      <c r="Q23" s="112"/>
      <c r="R23" s="112"/>
      <c r="S23" s="112"/>
      <c r="T23" s="112"/>
      <c r="U23" s="112"/>
      <c r="V23" s="112"/>
      <c r="W23" s="114"/>
      <c r="X23" s="81"/>
    </row>
    <row r="24" spans="1:24" ht="15" hidden="1" customHeight="1" x14ac:dyDescent="0.35">
      <c r="A24" s="81"/>
      <c r="B24" s="68"/>
      <c r="C24" s="40" t="s">
        <v>37</v>
      </c>
      <c r="D24" s="33"/>
      <c r="E24" s="33"/>
      <c r="F24" s="38">
        <f t="shared" si="0"/>
        <v>7</v>
      </c>
      <c r="G24" s="24"/>
      <c r="H24" s="24"/>
      <c r="I24" s="24"/>
      <c r="J24" s="24"/>
      <c r="K24" s="24"/>
      <c r="L24" s="82"/>
      <c r="M24" s="83"/>
      <c r="N24" s="113"/>
      <c r="O24" s="112"/>
      <c r="P24" s="112"/>
      <c r="Q24" s="112"/>
      <c r="R24" s="112"/>
      <c r="S24" s="112"/>
      <c r="T24" s="112"/>
      <c r="U24" s="112"/>
      <c r="V24" s="112"/>
      <c r="W24" s="114"/>
      <c r="X24" s="81"/>
    </row>
    <row r="25" spans="1:24" ht="15" hidden="1" customHeight="1" x14ac:dyDescent="0.35">
      <c r="A25" s="81"/>
      <c r="B25" s="68"/>
      <c r="C25" s="40" t="s">
        <v>38</v>
      </c>
      <c r="D25" s="33"/>
      <c r="E25" s="33"/>
      <c r="F25" s="38">
        <f t="shared" si="0"/>
        <v>8</v>
      </c>
      <c r="G25" s="24"/>
      <c r="H25" s="24"/>
      <c r="I25" s="24"/>
      <c r="J25" s="24"/>
      <c r="K25" s="24"/>
      <c r="L25" s="82"/>
      <c r="M25" s="83"/>
      <c r="N25" s="113"/>
      <c r="O25" s="112"/>
      <c r="P25" s="112"/>
      <c r="Q25" s="112"/>
      <c r="R25" s="112"/>
      <c r="S25" s="112"/>
      <c r="T25" s="112"/>
      <c r="U25" s="112"/>
      <c r="V25" s="112"/>
      <c r="W25" s="114"/>
      <c r="X25" s="81"/>
    </row>
    <row r="26" spans="1:24" ht="15" hidden="1" customHeight="1" x14ac:dyDescent="0.35">
      <c r="A26" s="81"/>
      <c r="B26" s="68"/>
      <c r="C26" s="40" t="s">
        <v>39</v>
      </c>
      <c r="D26" s="33"/>
      <c r="E26" s="33"/>
      <c r="F26" s="38">
        <f t="shared" si="0"/>
        <v>9</v>
      </c>
      <c r="G26" s="24"/>
      <c r="H26" s="24"/>
      <c r="I26" s="24"/>
      <c r="J26" s="24"/>
      <c r="K26" s="24"/>
      <c r="L26" s="82"/>
      <c r="M26" s="83"/>
      <c r="N26" s="113"/>
      <c r="O26" s="112"/>
      <c r="P26" s="112"/>
      <c r="Q26" s="112"/>
      <c r="R26" s="112"/>
      <c r="S26" s="112"/>
      <c r="T26" s="112"/>
      <c r="U26" s="112"/>
      <c r="V26" s="112"/>
      <c r="W26" s="114"/>
      <c r="X26" s="81"/>
    </row>
    <row r="27" spans="1:24" ht="15" hidden="1" customHeight="1" x14ac:dyDescent="0.35">
      <c r="A27" s="81"/>
      <c r="B27" s="68"/>
      <c r="C27" s="40" t="s">
        <v>40</v>
      </c>
      <c r="D27" s="33"/>
      <c r="E27" s="33"/>
      <c r="F27" s="38">
        <f t="shared" si="0"/>
        <v>10</v>
      </c>
      <c r="G27" s="24"/>
      <c r="H27" s="24"/>
      <c r="I27" s="24"/>
      <c r="J27" s="24"/>
      <c r="K27" s="24"/>
      <c r="L27" s="82"/>
      <c r="M27" s="83"/>
      <c r="N27" s="113"/>
      <c r="O27" s="112"/>
      <c r="P27" s="112"/>
      <c r="Q27" s="112"/>
      <c r="R27" s="112"/>
      <c r="S27" s="112"/>
      <c r="T27" s="112"/>
      <c r="U27" s="112"/>
      <c r="V27" s="112"/>
      <c r="W27" s="114"/>
      <c r="X27" s="81"/>
    </row>
    <row r="28" spans="1:24" ht="15" hidden="1" customHeight="1" x14ac:dyDescent="0.35">
      <c r="A28" s="81"/>
      <c r="B28" s="68"/>
      <c r="C28" s="40" t="s">
        <v>41</v>
      </c>
      <c r="D28" s="33"/>
      <c r="E28" s="33"/>
      <c r="F28" s="38">
        <f t="shared" si="0"/>
        <v>11</v>
      </c>
      <c r="G28" s="24"/>
      <c r="H28" s="24"/>
      <c r="I28" s="24"/>
      <c r="J28" s="24"/>
      <c r="K28" s="24"/>
      <c r="L28" s="82"/>
      <c r="M28" s="83"/>
      <c r="N28" s="113"/>
      <c r="O28" s="112"/>
      <c r="P28" s="112"/>
      <c r="Q28" s="112"/>
      <c r="R28" s="112"/>
      <c r="S28" s="112"/>
      <c r="T28" s="112"/>
      <c r="U28" s="112"/>
      <c r="V28" s="112"/>
      <c r="W28" s="114"/>
      <c r="X28" s="81"/>
    </row>
    <row r="29" spans="1:24" ht="15" hidden="1" customHeight="1" x14ac:dyDescent="0.35">
      <c r="A29" s="81"/>
      <c r="B29" s="68"/>
      <c r="C29" s="40" t="s">
        <v>42</v>
      </c>
      <c r="D29" s="33"/>
      <c r="E29" s="33"/>
      <c r="F29" s="38">
        <f t="shared" si="0"/>
        <v>12</v>
      </c>
      <c r="G29" s="24"/>
      <c r="H29" s="24"/>
      <c r="I29" s="24" t="str">
        <f>""</f>
        <v/>
      </c>
      <c r="J29" s="24"/>
      <c r="K29" s="24"/>
      <c r="L29" s="82"/>
      <c r="M29" s="83"/>
      <c r="N29" s="113"/>
      <c r="O29" s="112"/>
      <c r="P29" s="112"/>
      <c r="Q29" s="112"/>
      <c r="R29" s="112"/>
      <c r="S29" s="112"/>
      <c r="T29" s="112"/>
      <c r="U29" s="112"/>
      <c r="V29" s="112"/>
      <c r="W29" s="114"/>
      <c r="X29" s="81"/>
    </row>
    <row r="30" spans="1:24" ht="15" thickBot="1" x14ac:dyDescent="0.4">
      <c r="A30" s="81"/>
      <c r="B30" s="67" t="s">
        <v>17</v>
      </c>
      <c r="C30" s="79"/>
      <c r="D30" s="40"/>
      <c r="E30" s="40"/>
      <c r="F30" s="30"/>
      <c r="G30" s="24"/>
      <c r="H30" s="24" t="b">
        <f>IF(AND(NOT(ISBLANK(calmonth)),IF(IFERROR(VLOOKUP(calmonth,salarymonth,1,FALSE),FALSE)=FALSE,FALSE,IFERROR(VLOOKUP(calmonth,salarymonth,1,FALSE),FALSE)=calmonth)),TRUE,FALSE)</f>
        <v>0</v>
      </c>
      <c r="I30" s="24" t="e">
        <f>VLOOKUP(calmonth,salarymonth,4,FALSE)</f>
        <v>#N/A</v>
      </c>
      <c r="J30" s="24"/>
      <c r="K30" s="24" t="b">
        <f>IF(AND(freqtest&lt;6,ISBLANK(calmonth)),TRUE,FALSE)</f>
        <v>1</v>
      </c>
      <c r="L30" s="82"/>
      <c r="M30" s="85" t="str">
        <f>IF(freqtest=6,"",IF(OR(K30,NOT(H30)),"Please enter valid month",""))</f>
        <v>Please enter valid month</v>
      </c>
      <c r="N30" s="88" t="s">
        <v>92</v>
      </c>
      <c r="O30" s="112"/>
      <c r="P30" s="112"/>
      <c r="Q30" s="112"/>
      <c r="R30" s="112"/>
      <c r="S30" s="112"/>
      <c r="T30" s="112"/>
      <c r="U30" s="112"/>
      <c r="V30" s="112"/>
      <c r="W30" s="50">
        <f ca="1">W16-W17</f>
        <v>0</v>
      </c>
      <c r="X30" s="81"/>
    </row>
    <row r="31" spans="1:24" ht="15" thickTop="1" x14ac:dyDescent="0.35">
      <c r="A31" s="81"/>
      <c r="B31" s="67" t="str">
        <f>IF(OR(I17=2,I17=3),"Wages/Allowances &amp; Benefits","Salary/Allowances &amp; Benefits")</f>
        <v>Salary/Allowances &amp; Benefits</v>
      </c>
      <c r="C31" s="86" t="s">
        <v>96</v>
      </c>
      <c r="D31" s="40"/>
      <c r="E31" s="40"/>
      <c r="F31" s="30"/>
      <c r="G31" s="24"/>
      <c r="H31" s="24"/>
      <c r="I31" s="24"/>
      <c r="J31" s="24"/>
      <c r="K31" s="24"/>
      <c r="L31" s="82"/>
      <c r="M31" s="84"/>
      <c r="N31" s="89"/>
      <c r="O31" s="96"/>
      <c r="P31" s="96"/>
      <c r="Q31" s="96"/>
      <c r="R31" s="96"/>
      <c r="S31" s="96"/>
      <c r="T31" s="96"/>
      <c r="U31" s="96"/>
      <c r="V31" s="96"/>
      <c r="W31" s="91"/>
      <c r="X31" s="81"/>
    </row>
    <row r="32" spans="1:24" x14ac:dyDescent="0.35">
      <c r="A32" s="81"/>
      <c r="B32" s="69" t="str">
        <f>IF(OR(I17=2,I17=3),"Wages","Salary")</f>
        <v>Salary</v>
      </c>
      <c r="C32" s="51">
        <v>0</v>
      </c>
      <c r="D32" s="41"/>
      <c r="E32" s="41"/>
      <c r="F32" s="42"/>
      <c r="G32" s="24"/>
      <c r="H32" s="24" t="b">
        <f>ISNUMBER(basicsalary)</f>
        <v>1</v>
      </c>
      <c r="I32" s="24"/>
      <c r="J32" s="24"/>
      <c r="K32" s="24"/>
      <c r="L32" s="82"/>
      <c r="M32" s="84" t="str">
        <f>IF(SUM(renumeration)&gt;0,"","Please enter salary details")</f>
        <v>Please enter salary details</v>
      </c>
      <c r="N32" s="88" t="s">
        <v>93</v>
      </c>
      <c r="O32" s="105" t="s">
        <v>106</v>
      </c>
      <c r="P32" s="105" t="s">
        <v>101</v>
      </c>
      <c r="Q32" s="105" t="s">
        <v>102</v>
      </c>
      <c r="R32" s="105"/>
      <c r="S32" s="105"/>
      <c r="T32" s="105"/>
      <c r="U32" s="105" t="s">
        <v>103</v>
      </c>
      <c r="V32" s="115" t="s">
        <v>104</v>
      </c>
      <c r="W32" s="116"/>
      <c r="X32" s="81"/>
    </row>
    <row r="33" spans="1:24" x14ac:dyDescent="0.35">
      <c r="A33" s="81"/>
      <c r="B33" s="69" t="s">
        <v>43</v>
      </c>
      <c r="C33" s="51">
        <v>0</v>
      </c>
      <c r="D33" s="41"/>
      <c r="E33" s="41">
        <f>basicsalary*12</f>
        <v>0</v>
      </c>
      <c r="F33" s="42"/>
      <c r="G33" s="24"/>
      <c r="H33" s="24" t="b">
        <f>IF(OR(ISBLANK(travelling),ISNUMBER(travelling)),TRUE,FALSE)</f>
        <v>1</v>
      </c>
      <c r="I33" s="24"/>
      <c r="J33" s="24"/>
      <c r="K33" s="24"/>
      <c r="L33" s="82"/>
      <c r="M33" s="84" t="str">
        <f ca="1">IF(AND(formatcheck=TRUE,traveltest=FALSE),"Please enter valid amount","")</f>
        <v/>
      </c>
      <c r="N33" s="88" t="str">
        <f t="shared" ref="N33:N39" si="1">TEXT(O33,"$ #,###0.00")&amp;" @ "&amp;TEXT(V33,"#,###.0%")</f>
        <v>$ 0.00 @ 12.5%</v>
      </c>
      <c r="O33" s="105">
        <f t="shared" ref="O33:O39" si="2">SUM(P33:U33)</f>
        <v>0</v>
      </c>
      <c r="P33" s="105">
        <f>IF(freqtest=6,SUMIF(Table3[FirstRate],V33,Table3[Salary @ First Rate]),SUMIFS(Table3[Salary @ First Rate],Table3[FirstRate],V33,Table3[Month],caldate))</f>
        <v>0</v>
      </c>
      <c r="Q33" s="105">
        <f>IF(freqtest=6,SUMIF(Table3[SecondRate],V33,Table3[Salary @ Second Rate]),SUMIFS(Table3[Salary @ Second Rate],Table3[SecondRate],V33,Table3[Month],caldate))</f>
        <v>0</v>
      </c>
      <c r="R33" s="105"/>
      <c r="S33" s="105"/>
      <c r="T33" s="105">
        <f>SUMIFS(Table3[Salary @ Third Rate],Table3[ThirdRate],V33,Table3[Month],caldate)</f>
        <v>0</v>
      </c>
      <c r="U33" s="105">
        <f>IF(freqtest=6,SUMIF(Table3[ThirdRate],V33,Table3[Salary @ Third Rate]),SUMIFS(Table3[Salary @ Third Rate],Table3[ThirdRate],V33,Table3[Month],caldate))</f>
        <v>0</v>
      </c>
      <c r="V33" s="115">
        <v>0.125</v>
      </c>
      <c r="W33" s="28">
        <f t="shared" ref="W33:W39" si="3">O33*V33</f>
        <v>0</v>
      </c>
      <c r="X33" s="81"/>
    </row>
    <row r="34" spans="1:24" x14ac:dyDescent="0.35">
      <c r="A34" s="81"/>
      <c r="B34" s="69" t="s">
        <v>44</v>
      </c>
      <c r="C34" s="51">
        <v>0</v>
      </c>
      <c r="D34" s="41"/>
      <c r="E34" s="41"/>
      <c r="F34" s="42"/>
      <c r="G34" s="24"/>
      <c r="H34" s="24" t="b">
        <f>IF(OR(ISBLANK(entertainment),ISNUMBER(entertainment)),TRUE,FALSE)</f>
        <v>1</v>
      </c>
      <c r="I34" s="24"/>
      <c r="J34" s="24"/>
      <c r="K34" s="24"/>
      <c r="L34" s="82"/>
      <c r="M34" s="84" t="str">
        <f ca="1">IF(AND(formatcheck=TRUE,H34=FALSE),"Please enter valid amount","")</f>
        <v/>
      </c>
      <c r="N34" s="88" t="str">
        <f t="shared" si="1"/>
        <v>$ 0.00 @ 16.0%</v>
      </c>
      <c r="O34" s="105">
        <f t="shared" si="2"/>
        <v>0</v>
      </c>
      <c r="P34" s="105">
        <f>IF(freqtest=6,SUMIF(Table3[FirstRate],V34,Table3[Salary @ First Rate]),SUMIFS(Table3[Salary @ First Rate],Table3[FirstRate],V34,Table3[Month],caldate))</f>
        <v>0</v>
      </c>
      <c r="Q34" s="105">
        <f>IF(freqtest=6,SUMIF(Table3[SecondRate],V34,Table3[Salary @ Second Rate]),SUMIFS(Table3[Salary @ Second Rate],Table3[SecondRate],V34,Table3[Month],caldate))</f>
        <v>0</v>
      </c>
      <c r="R34" s="105"/>
      <c r="S34" s="105"/>
      <c r="T34" s="105"/>
      <c r="U34" s="105">
        <f>IF(freqtest=6,SUMIF(Table3[ThirdRate],V34,Table3[Salary @ Third Rate]),SUMIFS(Table3[Salary @ Third Rate],Table3[ThirdRate],V34,Table3[Month],caldate))</f>
        <v>0</v>
      </c>
      <c r="V34" s="115">
        <v>0.16</v>
      </c>
      <c r="W34" s="28">
        <f t="shared" si="3"/>
        <v>0</v>
      </c>
      <c r="X34" s="81"/>
    </row>
    <row r="35" spans="1:24" x14ac:dyDescent="0.35">
      <c r="A35" s="81"/>
      <c r="B35" s="69" t="s">
        <v>45</v>
      </c>
      <c r="C35" s="51">
        <v>0</v>
      </c>
      <c r="D35" s="41"/>
      <c r="E35" s="41"/>
      <c r="F35" s="42"/>
      <c r="G35" s="24"/>
      <c r="H35" s="24" t="b">
        <f>IF(OR(ISBLANK(housing),ISNUMBER(housing)),TRUE,FALSE)</f>
        <v>1</v>
      </c>
      <c r="I35" s="24"/>
      <c r="J35" s="24"/>
      <c r="K35" s="24"/>
      <c r="L35" s="82"/>
      <c r="M35" s="84" t="str">
        <f ca="1">IF(AND(formatcheck=TRUE,H35=FALSE),"Please enter valid amount","")</f>
        <v/>
      </c>
      <c r="N35" s="88" t="str">
        <f t="shared" si="1"/>
        <v>$ 0.00 @ 17.5%</v>
      </c>
      <c r="O35" s="105">
        <f t="shared" si="2"/>
        <v>0</v>
      </c>
      <c r="P35" s="105">
        <f>IF(freqtest=6,SUMIF(Table3[FirstRate],V35,Table3[Salary @ First Rate]),SUMIFS(Table3[Salary @ First Rate],Table3[FirstRate],V35,Table3[Month],caldate))</f>
        <v>0</v>
      </c>
      <c r="Q35" s="105">
        <f>IF(freqtest=6,SUMIF(Table3[SecondRate],V35,Table3[Salary @ Second Rate]),SUMIFS(Table3[Salary @ Second Rate],Table3[SecondRate],V35,Table3[Month],caldate))</f>
        <v>0</v>
      </c>
      <c r="R35" s="105"/>
      <c r="S35" s="105"/>
      <c r="T35" s="105"/>
      <c r="U35" s="105">
        <f>IF(freqtest=6,SUMIF(Table3[ThirdRate],V35,Table3[Salary @ Third Rate]),SUMIFS(Table3[Salary @ Third Rate],Table3[ThirdRate],V35,Table3[Month],caldate))</f>
        <v>0</v>
      </c>
      <c r="V35" s="115">
        <v>0.17499999999999999</v>
      </c>
      <c r="W35" s="28">
        <f t="shared" si="3"/>
        <v>0</v>
      </c>
      <c r="X35" s="81"/>
    </row>
    <row r="36" spans="1:24" x14ac:dyDescent="0.35">
      <c r="A36" s="81"/>
      <c r="B36" s="69" t="s">
        <v>46</v>
      </c>
      <c r="C36" s="51">
        <v>0</v>
      </c>
      <c r="D36" s="41"/>
      <c r="E36" s="41"/>
      <c r="F36" s="42"/>
      <c r="G36" s="24"/>
      <c r="H36" s="24" t="b">
        <f>IF(OR(ISBLANK(vehicle),ISNUMBER(vehicle)),TRUE,FALSE)</f>
        <v>1</v>
      </c>
      <c r="I36" s="24"/>
      <c r="J36" s="24"/>
      <c r="K36" s="24"/>
      <c r="L36" s="82"/>
      <c r="M36" s="84" t="str">
        <f ca="1">IF(AND(formatcheck=TRUE,H36=FALSE),"Please enter valid amount","")</f>
        <v/>
      </c>
      <c r="N36" s="88" t="str">
        <f t="shared" si="1"/>
        <v>$ 0.00 @ 28.5%</v>
      </c>
      <c r="O36" s="105">
        <f t="shared" si="2"/>
        <v>0</v>
      </c>
      <c r="P36" s="105">
        <f>IF(freqtest=6,SUMIF(Table3[FirstRate],V36,Table3[Salary @ First Rate]),SUMIFS(Table3[Salary @ First Rate],Table3[FirstRate],V36,Table3[Month],caldate))</f>
        <v>0</v>
      </c>
      <c r="Q36" s="105">
        <f>IF(freqtest=6,SUMIF(Table3[SecondRate],V36,Table3[Salary @ Second Rate]),SUMIFS(Table3[Salary @ Second Rate],Table3[SecondRate],V36,Table3[Month],caldate))</f>
        <v>0</v>
      </c>
      <c r="R36" s="105"/>
      <c r="S36" s="105"/>
      <c r="T36" s="105"/>
      <c r="U36" s="105">
        <f>IF(freqtest=6,SUMIF(Table3[ThirdRate],V36,Table3[Salary @ Third Rate]),SUMIFS(Table3[Salary @ Third Rate],Table3[ThirdRate],V36,Table3[Month],caldate))</f>
        <v>0</v>
      </c>
      <c r="V36" s="115">
        <v>0.28499999999999998</v>
      </c>
      <c r="W36" s="28">
        <f t="shared" si="3"/>
        <v>0</v>
      </c>
      <c r="X36" s="81"/>
    </row>
    <row r="37" spans="1:24" x14ac:dyDescent="0.35">
      <c r="A37" s="81"/>
      <c r="B37" s="69" t="s">
        <v>47</v>
      </c>
      <c r="C37" s="51">
        <v>0</v>
      </c>
      <c r="D37" s="41"/>
      <c r="E37" s="41"/>
      <c r="F37" s="42"/>
      <c r="G37" s="24"/>
      <c r="H37" s="24" t="b">
        <f>IF(OR(ISBLANK(utilities),ISNUMBER(utilities)),TRUE,FALSE)</f>
        <v>1</v>
      </c>
      <c r="I37" s="24"/>
      <c r="J37" s="24"/>
      <c r="K37" s="24"/>
      <c r="L37" s="82"/>
      <c r="M37" s="84" t="str">
        <f ca="1">IF(AND(formatcheck=TRUE,H37=FALSE),"Please enter valid amount","")</f>
        <v/>
      </c>
      <c r="N37" s="88" t="str">
        <f t="shared" si="1"/>
        <v>$ 0.00 @ 33.5%</v>
      </c>
      <c r="O37" s="105">
        <f t="shared" si="2"/>
        <v>0</v>
      </c>
      <c r="P37" s="105">
        <f>IF(freqtest=6,SUMIF(Table3[FirstRate],V37,Table3[Salary @ First Rate]),SUMIFS(Table3[Salary @ First Rate],Table3[FirstRate],V37,Table3[Month],caldate))</f>
        <v>0</v>
      </c>
      <c r="Q37" s="105">
        <f>IF(freqtest=6,SUMIF(Table3[SecondRate],V37,Table3[Salary @ Second Rate]),SUMIFS(Table3[Salary @ Second Rate],Table3[SecondRate],V37,Table3[Month],caldate))</f>
        <v>0</v>
      </c>
      <c r="R37" s="105"/>
      <c r="S37" s="105"/>
      <c r="T37" s="105"/>
      <c r="U37" s="105">
        <f>IF(freqtest=6,SUMIF(Table3[ThirdRate],V37,Table3[Salary @ Third Rate]),SUMIFS(Table3[Salary @ Third Rate],Table3[ThirdRate],V37,Table3[Month],caldate))</f>
        <v>0</v>
      </c>
      <c r="V37" s="115">
        <v>0.33500000000000002</v>
      </c>
      <c r="W37" s="28">
        <f t="shared" si="3"/>
        <v>0</v>
      </c>
      <c r="X37" s="81"/>
    </row>
    <row r="38" spans="1:24" x14ac:dyDescent="0.35">
      <c r="A38" s="81"/>
      <c r="B38" s="69" t="s">
        <v>129</v>
      </c>
      <c r="C38" s="51">
        <v>0</v>
      </c>
      <c r="D38" s="41"/>
      <c r="E38" s="41"/>
      <c r="F38" s="42"/>
      <c r="G38" s="24"/>
      <c r="H38" s="24" t="b">
        <f>IF(OR(ISBLANK(miscallow),ISNUMBER(miscallow)),TRUE,FALSE)</f>
        <v>1</v>
      </c>
      <c r="I38" s="24"/>
      <c r="J38" s="24"/>
      <c r="K38" s="24"/>
      <c r="L38" s="82"/>
      <c r="M38" s="84" t="str">
        <f ca="1">IF(AND(formatcheck=TRUE,H38=FALSE),"Please enter valid amount","")</f>
        <v/>
      </c>
      <c r="N38" s="88" t="str">
        <f t="shared" si="1"/>
        <v>$ 0.00 @ 35.0%</v>
      </c>
      <c r="O38" s="105">
        <f t="shared" si="2"/>
        <v>0</v>
      </c>
      <c r="P38" s="105">
        <f>IF(freqtest=6,SUMIF(Table3[FirstRate],V38,Table3[Salary @ First Rate]),SUMIFS(Table3[Salary @ First Rate],Table3[FirstRate],V38,Table3[Month],caldate))</f>
        <v>0</v>
      </c>
      <c r="Q38" s="105">
        <f>IF(freqtest=6,SUMIF(Table3[SecondRate],V38,Table3[Salary @ Second Rate]),SUMIFS(Table3[Salary @ Second Rate],Table3[SecondRate],V38,Table3[Month],caldate))</f>
        <v>0</v>
      </c>
      <c r="R38" s="105"/>
      <c r="S38" s="105"/>
      <c r="T38" s="105"/>
      <c r="U38" s="105">
        <f>IF(freqtest=6,SUMIF(Table3[ThirdRate],V38,Table3[Salary @ Third Rate]),SUMIFS(Table3[Salary @ Third Rate],Table3[ThirdRate],V38,Table3[Month],caldate))</f>
        <v>0</v>
      </c>
      <c r="V38" s="115">
        <v>0.35</v>
      </c>
      <c r="W38" s="28">
        <f t="shared" si="3"/>
        <v>0</v>
      </c>
      <c r="X38" s="81"/>
    </row>
    <row r="39" spans="1:24" x14ac:dyDescent="0.35">
      <c r="A39" s="81"/>
      <c r="B39" s="67" t="str">
        <f>IF(OR(I17=2,I17=3),"Gross Wages","Gross Salary")</f>
        <v>Gross Salary</v>
      </c>
      <c r="C39" s="76"/>
      <c r="D39" s="41"/>
      <c r="E39" s="41"/>
      <c r="F39" s="43">
        <f ca="1">IF(H39,SUM(renumeration),0)</f>
        <v>0</v>
      </c>
      <c r="G39" s="24"/>
      <c r="H39" s="24" t="b">
        <f ca="1">IF(AND(H32,H33,H34,H35,H36,H37,H9,H38),TRUE,FALSE)</f>
        <v>0</v>
      </c>
      <c r="I39" s="24"/>
      <c r="J39" s="24"/>
      <c r="K39" s="24"/>
      <c r="L39" s="82"/>
      <c r="M39" s="83"/>
      <c r="N39" s="88" t="str">
        <f t="shared" si="1"/>
        <v>$ 0.00 @ 40.0%</v>
      </c>
      <c r="O39" s="105">
        <f t="shared" si="2"/>
        <v>0</v>
      </c>
      <c r="P39" s="105">
        <f>IF(freqtest=6,SUMIF(Table3[FirstRate],V39,Table3[Salary @ First Rate]),SUMIFS(Table3[Salary @ First Rate],Table3[FirstRate],V39,Table3[Month],caldate))</f>
        <v>0</v>
      </c>
      <c r="Q39" s="105">
        <f>IF(freqtest=6,SUMIF(Table3[SecondRate],V39,Table3[Salary @ Second Rate]),SUMIFS(Table3[Salary @ Second Rate],Table3[SecondRate],V39,Table3[Month],caldate))</f>
        <v>0</v>
      </c>
      <c r="R39" s="105"/>
      <c r="S39" s="105"/>
      <c r="T39" s="105"/>
      <c r="U39" s="105">
        <f>IF(freqtest=6,SUMIF(Table3[ThirdRate],V39,Table3[Salary @ Third Rate]),SUMIFS(Table3[Salary @ Third Rate],Table3[ThirdRate],V39,Table3[Month],caldate))</f>
        <v>0</v>
      </c>
      <c r="V39" s="115">
        <v>0.4</v>
      </c>
      <c r="W39" s="28">
        <f t="shared" si="3"/>
        <v>0</v>
      </c>
      <c r="X39" s="81"/>
    </row>
    <row r="40" spans="1:24" ht="15" thickBot="1" x14ac:dyDescent="0.4">
      <c r="A40" s="81"/>
      <c r="B40" s="67" t="s">
        <v>79</v>
      </c>
      <c r="C40" s="32"/>
      <c r="D40" s="41"/>
      <c r="E40" s="41"/>
      <c r="F40" s="42"/>
      <c r="G40" s="24"/>
      <c r="H40" s="24"/>
      <c r="I40" s="24"/>
      <c r="J40" s="24"/>
      <c r="K40" s="24"/>
      <c r="L40" s="82"/>
      <c r="M40" s="83"/>
      <c r="N40" s="90" t="s">
        <v>95</v>
      </c>
      <c r="O40" s="117">
        <f>SUM(O31:O39)</f>
        <v>0</v>
      </c>
      <c r="P40" s="117">
        <f t="shared" ref="P40:U40" si="4">SUM(P31:P39)</f>
        <v>0</v>
      </c>
      <c r="Q40" s="117">
        <f t="shared" si="4"/>
        <v>0</v>
      </c>
      <c r="R40" s="117"/>
      <c r="S40" s="117"/>
      <c r="T40" s="117"/>
      <c r="U40" s="117">
        <f t="shared" si="4"/>
        <v>0</v>
      </c>
      <c r="V40" s="118"/>
      <c r="W40" s="119">
        <f>SUM(W33:W39)</f>
        <v>0</v>
      </c>
      <c r="X40" s="81"/>
    </row>
    <row r="41" spans="1:24" x14ac:dyDescent="0.35">
      <c r="A41" s="81"/>
      <c r="B41" s="69" t="s">
        <v>43</v>
      </c>
      <c r="C41" s="44">
        <f>IF(ISBLANK(travelling),0,IFERROR(MIN(travelling,travelcap,travelcaprateamt),0))</f>
        <v>0</v>
      </c>
      <c r="D41" s="26"/>
      <c r="E41" s="26"/>
      <c r="F41" s="45"/>
      <c r="G41" s="24"/>
      <c r="H41" s="24"/>
      <c r="I41" s="25" t="e">
        <f>VLOOKUP(caldate,taxratetable[#All],15,TRUE)/tmonfreq</f>
        <v>#N/A</v>
      </c>
      <c r="J41" s="58">
        <f>IF(ISNUMBER(VLOOKUP(caldate,taxratetable[#All],14,TRUE)*basicsalary),VLOOKUP(caldate,taxratetable[#All],14,TRUE)*basicsalary,0)</f>
        <v>0</v>
      </c>
      <c r="K41" s="127">
        <f>VLOOKUP(freqtest,Table4[],4,FALSE)</f>
        <v>0</v>
      </c>
      <c r="L41" s="82"/>
      <c r="M41" s="84"/>
      <c r="N41" s="102"/>
      <c r="O41" s="120"/>
      <c r="P41" s="120"/>
      <c r="Q41" s="120"/>
      <c r="R41" s="120"/>
      <c r="S41" s="120"/>
      <c r="T41" s="120"/>
      <c r="U41" s="120"/>
      <c r="V41" s="120"/>
      <c r="W41" s="103"/>
      <c r="X41" s="81"/>
    </row>
    <row r="42" spans="1:24" x14ac:dyDescent="0.35">
      <c r="A42" s="81"/>
      <c r="B42" s="69" t="s">
        <v>50</v>
      </c>
      <c r="C42" s="52">
        <v>0</v>
      </c>
      <c r="D42" s="26"/>
      <c r="E42" s="26"/>
      <c r="F42" s="45"/>
      <c r="G42" s="24"/>
      <c r="H42" s="24"/>
      <c r="I42" s="24"/>
      <c r="J42" s="24"/>
      <c r="K42" s="24"/>
      <c r="L42" s="82"/>
      <c r="M42" s="84" t="str">
        <f>IF(OR(ISNUMBER(C42),ISBLANK(C42)),"Example Judical Allowance","Please enter valid amount")</f>
        <v>Example Judical Allowance</v>
      </c>
      <c r="N42" s="102"/>
      <c r="O42" s="120"/>
      <c r="P42" s="120"/>
      <c r="Q42" s="120"/>
      <c r="R42" s="120"/>
      <c r="S42" s="120"/>
      <c r="T42" s="120"/>
      <c r="U42" s="120"/>
      <c r="V42" s="120"/>
      <c r="W42" s="103"/>
      <c r="X42" s="81"/>
    </row>
    <row r="43" spans="1:24" x14ac:dyDescent="0.35">
      <c r="A43" s="81"/>
      <c r="B43" s="70" t="s">
        <v>51</v>
      </c>
      <c r="C43" s="46"/>
      <c r="D43" s="26"/>
      <c r="E43" s="26"/>
      <c r="F43" s="47">
        <f ca="1">IF(formatcheck,IF(ISNUMBER(C41+C42),C41+C42,""),0)</f>
        <v>0</v>
      </c>
      <c r="G43" s="24"/>
      <c r="H43" s="24"/>
      <c r="I43" s="24"/>
      <c r="J43" s="24"/>
      <c r="K43" s="24"/>
      <c r="L43" s="82"/>
      <c r="M43" s="83"/>
      <c r="N43" s="102"/>
      <c r="O43" s="104"/>
      <c r="P43" s="104"/>
      <c r="Q43" s="104"/>
      <c r="R43" s="104"/>
      <c r="S43" s="104"/>
      <c r="T43" s="104"/>
      <c r="U43" s="104"/>
      <c r="V43" s="104"/>
      <c r="W43" s="103"/>
      <c r="X43" s="81"/>
    </row>
    <row r="44" spans="1:24" x14ac:dyDescent="0.35">
      <c r="A44" s="81"/>
      <c r="B44" s="67" t="s">
        <v>135</v>
      </c>
      <c r="C44" s="32"/>
      <c r="D44" s="41"/>
      <c r="E44" s="41"/>
      <c r="F44" s="43">
        <f ca="1">IF(H39,grosssalary-totallowableexpenses,0)</f>
        <v>0</v>
      </c>
      <c r="G44" s="24"/>
      <c r="H44" s="24"/>
      <c r="I44" s="24"/>
      <c r="J44" s="24"/>
      <c r="K44" s="24"/>
      <c r="L44" s="82"/>
      <c r="M44" s="83"/>
      <c r="N44" s="102"/>
      <c r="O44" s="104"/>
      <c r="P44" s="104"/>
      <c r="Q44" s="104"/>
      <c r="R44" s="104"/>
      <c r="S44" s="104"/>
      <c r="T44" s="104"/>
      <c r="U44" s="104"/>
      <c r="V44" s="104"/>
      <c r="W44" s="103"/>
      <c r="X44" s="81"/>
    </row>
    <row r="45" spans="1:24" x14ac:dyDescent="0.35">
      <c r="A45" s="81"/>
      <c r="B45" s="68"/>
      <c r="C45" s="5"/>
      <c r="D45" s="40"/>
      <c r="E45" s="40"/>
      <c r="F45" s="30"/>
      <c r="G45" s="24"/>
      <c r="H45" s="24"/>
      <c r="I45" s="24"/>
      <c r="J45" s="24"/>
      <c r="K45" s="24"/>
      <c r="L45" s="82"/>
      <c r="M45" s="83"/>
      <c r="N45" s="102"/>
      <c r="O45" s="120"/>
      <c r="P45" s="104"/>
      <c r="Q45" s="104"/>
      <c r="R45" s="104"/>
      <c r="S45" s="104"/>
      <c r="T45" s="104"/>
      <c r="U45" s="104"/>
      <c r="V45" s="104"/>
      <c r="W45" s="103"/>
      <c r="X45" s="81"/>
    </row>
    <row r="46" spans="1:24" x14ac:dyDescent="0.35">
      <c r="A46" s="81"/>
      <c r="B46" s="67" t="s">
        <v>2</v>
      </c>
      <c r="C46" s="5"/>
      <c r="D46" s="40"/>
      <c r="E46" s="40"/>
      <c r="F46" s="30"/>
      <c r="G46" s="24"/>
      <c r="H46" s="24"/>
      <c r="I46" s="25" t="str">
        <f>IFERROR(IF(personallowancecategory=1,VLOOKUP(caldate,taxratetable[#All],7,TRUE),IF(personallowancecategory=2,VLOOKUP(caldate,taxratetable[#All],10,TRUE),0)),"")</f>
        <v/>
      </c>
      <c r="J46" s="25"/>
      <c r="K46" s="25"/>
      <c r="L46" s="82"/>
      <c r="M46" s="83"/>
      <c r="N46" s="102"/>
      <c r="O46" s="104"/>
      <c r="P46" s="104"/>
      <c r="Q46" s="104"/>
      <c r="R46" s="104"/>
      <c r="S46" s="104"/>
      <c r="T46" s="104"/>
      <c r="U46" s="104"/>
      <c r="V46" s="104"/>
      <c r="W46" s="103"/>
      <c r="X46" s="81"/>
    </row>
    <row r="47" spans="1:24" x14ac:dyDescent="0.35">
      <c r="A47" s="81"/>
      <c r="B47" s="71" t="s">
        <v>52</v>
      </c>
      <c r="C47" s="32">
        <f ca="1">IFERROR(IF(formatcheck,personalallowance/divide2,0),"")</f>
        <v>0</v>
      </c>
      <c r="D47" s="41"/>
      <c r="E47" s="41"/>
      <c r="F47" s="30"/>
      <c r="G47" s="24"/>
      <c r="H47" s="24"/>
      <c r="I47" s="24">
        <v>1</v>
      </c>
      <c r="J47" s="24"/>
      <c r="K47" s="24"/>
      <c r="L47" s="82"/>
      <c r="M47" s="83"/>
      <c r="N47" s="102"/>
      <c r="O47" s="104"/>
      <c r="P47" s="104"/>
      <c r="Q47" s="104"/>
      <c r="R47" s="104"/>
      <c r="S47" s="104"/>
      <c r="T47" s="104"/>
      <c r="U47" s="104"/>
      <c r="V47" s="104"/>
      <c r="W47" s="103"/>
      <c r="X47" s="81"/>
    </row>
    <row r="48" spans="1:24" x14ac:dyDescent="0.35">
      <c r="A48" s="81"/>
      <c r="B48" s="68"/>
      <c r="C48" s="5"/>
      <c r="D48" s="40"/>
      <c r="E48" s="40"/>
      <c r="F48" s="30"/>
      <c r="G48" s="24"/>
      <c r="H48" s="24"/>
      <c r="I48" s="24"/>
      <c r="J48" s="24" t="s">
        <v>86</v>
      </c>
      <c r="K48" s="24"/>
      <c r="L48" s="82"/>
      <c r="M48" s="83"/>
      <c r="N48" s="102"/>
      <c r="O48" s="104"/>
      <c r="P48" s="104"/>
      <c r="Q48" s="104"/>
      <c r="R48" s="104"/>
      <c r="S48" s="104"/>
      <c r="T48" s="104"/>
      <c r="U48" s="104"/>
      <c r="V48" s="104"/>
      <c r="W48" s="103"/>
      <c r="X48" s="81"/>
    </row>
    <row r="49" spans="1:24" x14ac:dyDescent="0.35">
      <c r="A49" s="81"/>
      <c r="B49" s="68"/>
      <c r="C49" s="32">
        <f>IFERROR(IF(spouseallowance,I49,0)/divide2,0)</f>
        <v>0</v>
      </c>
      <c r="D49" s="41"/>
      <c r="E49" s="41"/>
      <c r="F49" s="30"/>
      <c r="G49" s="24"/>
      <c r="H49" s="24" t="b">
        <v>0</v>
      </c>
      <c r="I49" s="25" t="e">
        <f>VLOOKUP(caldate,taxratetable[#All],8,TRUE)</f>
        <v>#N/A</v>
      </c>
      <c r="J49" s="24">
        <f>VLOOKUP(freqtest,Table4[#All],4,FALSE)</f>
        <v>0</v>
      </c>
      <c r="K49" s="24"/>
      <c r="L49" s="82"/>
      <c r="M49" s="83"/>
      <c r="N49" s="102"/>
      <c r="O49" s="104"/>
      <c r="P49" s="104"/>
      <c r="Q49" s="104"/>
      <c r="R49" s="104"/>
      <c r="S49" s="104"/>
      <c r="T49" s="104"/>
      <c r="U49" s="104"/>
      <c r="V49" s="104"/>
      <c r="W49" s="103"/>
      <c r="X49" s="81"/>
    </row>
    <row r="50" spans="1:24" x14ac:dyDescent="0.35">
      <c r="A50" s="81"/>
      <c r="B50" s="72"/>
      <c r="C50" s="5"/>
      <c r="D50" s="40">
        <v>1</v>
      </c>
      <c r="E50" s="40"/>
      <c r="F50" s="30"/>
      <c r="G50" s="24"/>
      <c r="H50" s="24" t="b">
        <v>0</v>
      </c>
      <c r="I50" s="25" t="e">
        <f>VLOOKUP(caldate,taxratetable[#All],9,TRUE)</f>
        <v>#N/A</v>
      </c>
      <c r="J50" s="24"/>
      <c r="K50" s="24"/>
      <c r="L50" s="82"/>
      <c r="M50" s="84" t="s">
        <v>136</v>
      </c>
      <c r="N50" s="102"/>
      <c r="O50" s="104"/>
      <c r="P50" s="104"/>
      <c r="Q50" s="104"/>
      <c r="R50" s="104"/>
      <c r="S50" s="104"/>
      <c r="T50" s="104"/>
      <c r="U50" s="104"/>
      <c r="V50" s="104"/>
      <c r="W50" s="103"/>
      <c r="X50" s="81"/>
    </row>
    <row r="51" spans="1:24" x14ac:dyDescent="0.35">
      <c r="A51" s="81"/>
      <c r="B51" s="72" t="s">
        <v>56</v>
      </c>
      <c r="C51" s="5"/>
      <c r="D51" s="40"/>
      <c r="E51" s="40"/>
      <c r="F51" s="30"/>
      <c r="G51" s="24"/>
      <c r="H51" s="24"/>
      <c r="I51" s="25"/>
      <c r="J51" s="24"/>
      <c r="K51" s="24"/>
      <c r="L51" s="82"/>
      <c r="M51" s="83"/>
      <c r="N51" s="102"/>
      <c r="O51" s="104"/>
      <c r="P51" s="104"/>
      <c r="Q51" s="104"/>
      <c r="R51" s="104"/>
      <c r="S51" s="104"/>
      <c r="T51" s="104"/>
      <c r="U51" s="104"/>
      <c r="V51" s="104"/>
      <c r="W51" s="103"/>
      <c r="X51" s="81"/>
    </row>
    <row r="52" spans="1:24" x14ac:dyDescent="0.35">
      <c r="A52" s="81"/>
      <c r="B52" s="73" t="s">
        <v>130</v>
      </c>
      <c r="C52" s="32">
        <f>IFERROR(IF(childallowance,H52,0)/divide2,0)</f>
        <v>0</v>
      </c>
      <c r="D52" s="41"/>
      <c r="E52" s="41"/>
      <c r="F52" s="30"/>
      <c r="G52" s="24"/>
      <c r="H52" s="58">
        <f>IF(childallowance,IF(child1=1,childallowanceamt,childallowanceamt/2),0)</f>
        <v>0</v>
      </c>
      <c r="I52" s="24">
        <v>2</v>
      </c>
      <c r="J52" s="24"/>
      <c r="K52" s="24"/>
      <c r="L52" s="82"/>
      <c r="M52" s="83"/>
      <c r="N52" s="102"/>
      <c r="O52" s="104"/>
      <c r="P52" s="104"/>
      <c r="Q52" s="104"/>
      <c r="R52" s="104"/>
      <c r="S52" s="104"/>
      <c r="T52" s="104"/>
      <c r="U52" s="104"/>
      <c r="V52" s="104"/>
      <c r="W52" s="103"/>
      <c r="X52" s="81"/>
    </row>
    <row r="53" spans="1:24" x14ac:dyDescent="0.35">
      <c r="A53" s="81"/>
      <c r="B53" s="73" t="s">
        <v>131</v>
      </c>
      <c r="C53" s="32">
        <f>IFERROR(IF(AND(childallowance,noofchildren=2),H53,0)/divide2,0)</f>
        <v>0</v>
      </c>
      <c r="D53" s="41"/>
      <c r="E53" s="41"/>
      <c r="F53" s="30"/>
      <c r="G53" s="24"/>
      <c r="H53" s="58">
        <f>IF(childallowance,IF(child2=1,childallowanceamt,childallowanceamt/2),0)</f>
        <v>0</v>
      </c>
      <c r="I53" s="24">
        <v>2</v>
      </c>
      <c r="J53" s="24"/>
      <c r="K53" s="24"/>
      <c r="L53" s="82"/>
      <c r="M53" s="83"/>
      <c r="N53" s="102"/>
      <c r="O53" s="104"/>
      <c r="P53" s="104"/>
      <c r="Q53" s="104"/>
      <c r="R53" s="104"/>
      <c r="S53" s="104"/>
      <c r="T53" s="104"/>
      <c r="U53" s="104"/>
      <c r="V53" s="104"/>
      <c r="W53" s="103"/>
      <c r="X53" s="81"/>
    </row>
    <row r="54" spans="1:24" x14ac:dyDescent="0.35">
      <c r="A54" s="81"/>
      <c r="B54" s="71" t="s">
        <v>85</v>
      </c>
      <c r="C54" s="32"/>
      <c r="D54" s="41"/>
      <c r="E54" s="41"/>
      <c r="F54" s="30"/>
      <c r="G54" s="24"/>
      <c r="H54" s="58"/>
      <c r="I54" s="24"/>
      <c r="J54" s="24"/>
      <c r="K54" s="24"/>
      <c r="L54" s="82"/>
      <c r="M54" s="83"/>
      <c r="N54" s="102"/>
      <c r="O54" s="104"/>
      <c r="P54" s="104"/>
      <c r="Q54" s="104"/>
      <c r="R54" s="104"/>
      <c r="S54" s="104"/>
      <c r="T54" s="104"/>
      <c r="U54" s="104"/>
      <c r="V54" s="104"/>
      <c r="W54" s="103"/>
      <c r="X54" s="81"/>
    </row>
    <row r="55" spans="1:24" x14ac:dyDescent="0.35">
      <c r="A55" s="81"/>
      <c r="B55" s="74" t="s">
        <v>14</v>
      </c>
      <c r="C55" s="51">
        <v>0</v>
      </c>
      <c r="D55" s="41" t="e">
        <f>IF(rrsp&gt;maxrrsp,TRUE,FALSE)</f>
        <v>#N/A</v>
      </c>
      <c r="E55" s="41"/>
      <c r="F55" s="30"/>
      <c r="G55" s="24"/>
      <c r="H55" s="58" t="e">
        <f>TRUNC(annualmaxrrsp/divide2,2)</f>
        <v>#N/A</v>
      </c>
      <c r="I55" s="58" t="e">
        <f>VLOOKUP(caldate,taxratetable[#All],11,TRUE)</f>
        <v>#N/A</v>
      </c>
      <c r="J55" s="24"/>
      <c r="K55" s="24"/>
      <c r="L55" s="82"/>
      <c r="M55" s="84" t="str">
        <f ca="1">IFERROR(IF(AND(formatcheck,D55),"RRSP may not exceed "&amp;TEXT(maxrrsp,"$ #,###0.00"),""),"")</f>
        <v/>
      </c>
      <c r="N55" s="102"/>
      <c r="O55" s="104"/>
      <c r="P55" s="104"/>
      <c r="Q55" s="104"/>
      <c r="R55" s="104"/>
      <c r="S55" s="104"/>
      <c r="T55" s="104"/>
      <c r="U55" s="104"/>
      <c r="V55" s="104"/>
      <c r="W55" s="103"/>
      <c r="X55" s="81"/>
    </row>
    <row r="56" spans="1:24" x14ac:dyDescent="0.35">
      <c r="A56" s="81"/>
      <c r="B56" s="74" t="s">
        <v>132</v>
      </c>
      <c r="C56" s="53">
        <v>0</v>
      </c>
      <c r="D56" s="40" t="e">
        <f>IF(charityamt&gt;maxcharity,TRUE,FALSE)</f>
        <v>#N/A</v>
      </c>
      <c r="E56" s="40"/>
      <c r="F56" s="30"/>
      <c r="G56" s="24" t="s">
        <v>28</v>
      </c>
      <c r="H56" s="58" t="e">
        <f>IF(basicsalarytest,(charitydonationrate*basicsalary),0)</f>
        <v>#N/A</v>
      </c>
      <c r="I56" s="59" t="e">
        <f>VLOOKUP(caldate,taxratetable[#All],13,TRUE)</f>
        <v>#N/A</v>
      </c>
      <c r="J56" s="59" t="e">
        <f>TEXT(maxcharity,"$ #,###0.00")</f>
        <v>#N/A</v>
      </c>
      <c r="K56" s="59" t="e">
        <f>TEXT(charitydonationrate,"#,###0.0%")</f>
        <v>#N/A</v>
      </c>
      <c r="L56" s="82"/>
      <c r="M56" s="84" t="str">
        <f ca="1">IFERROR(IF(formatcheck,IF(charityamt&gt;maxcharity,"Charity donations should not exceed "&amp;K56&amp;" of basic salary or "&amp;J56,""),""),"")</f>
        <v/>
      </c>
      <c r="N56" s="102"/>
      <c r="O56" s="104"/>
      <c r="P56" s="104"/>
      <c r="Q56" s="104"/>
      <c r="R56" s="104"/>
      <c r="S56" s="104"/>
      <c r="T56" s="104"/>
      <c r="U56" s="104"/>
      <c r="V56" s="104"/>
      <c r="W56" s="103"/>
      <c r="X56" s="81"/>
    </row>
    <row r="57" spans="1:24" ht="15" thickBot="1" x14ac:dyDescent="0.4">
      <c r="A57" s="81"/>
      <c r="B57" s="75" t="s">
        <v>81</v>
      </c>
      <c r="C57" s="48">
        <f>IFERROR(IF(OR(D55:D56),0,SUM(C47:C56)),0)</f>
        <v>0</v>
      </c>
      <c r="D57" s="63"/>
      <c r="E57" s="63"/>
      <c r="F57" s="49"/>
      <c r="G57" s="24"/>
      <c r="H57" s="24"/>
      <c r="I57" s="24"/>
      <c r="J57" s="24"/>
      <c r="K57" s="24"/>
      <c r="L57" s="82"/>
      <c r="M57" s="83"/>
      <c r="N57" s="102"/>
      <c r="O57" s="104"/>
      <c r="P57" s="104"/>
      <c r="Q57" s="104"/>
      <c r="R57" s="104"/>
      <c r="S57" s="104"/>
      <c r="T57" s="104"/>
      <c r="U57" s="104"/>
      <c r="V57" s="104"/>
      <c r="W57" s="103"/>
      <c r="X57" s="81"/>
    </row>
    <row r="58" spans="1:24" x14ac:dyDescent="0.35">
      <c r="A58" s="81"/>
      <c r="B58" s="81"/>
      <c r="C58" s="81"/>
      <c r="D58" s="81"/>
      <c r="E58" s="81"/>
      <c r="F58" s="81"/>
      <c r="G58" s="81"/>
      <c r="H58" s="81"/>
      <c r="I58" s="81"/>
      <c r="J58" s="81"/>
      <c r="K58" s="81"/>
      <c r="L58" s="82"/>
      <c r="M58" s="83"/>
      <c r="N58" s="102"/>
      <c r="O58" s="104"/>
      <c r="P58" s="104"/>
      <c r="Q58" s="104"/>
      <c r="R58" s="104"/>
      <c r="S58" s="104"/>
      <c r="T58" s="104"/>
      <c r="U58" s="104"/>
      <c r="V58" s="104"/>
      <c r="W58" s="103"/>
      <c r="X58" s="81"/>
    </row>
    <row r="59" spans="1:24" ht="15" thickBot="1" x14ac:dyDescent="0.4">
      <c r="A59" s="81"/>
      <c r="B59" s="81"/>
      <c r="C59" s="81"/>
      <c r="D59" s="81"/>
      <c r="E59" s="81"/>
      <c r="F59" s="81"/>
      <c r="G59" s="81"/>
      <c r="H59" s="81"/>
      <c r="I59" s="81"/>
      <c r="J59" s="81"/>
      <c r="K59" s="81"/>
      <c r="L59" s="82"/>
      <c r="M59" s="83"/>
      <c r="N59" s="102"/>
      <c r="O59" s="104"/>
      <c r="P59" s="104"/>
      <c r="Q59" s="104"/>
      <c r="R59" s="104"/>
      <c r="S59" s="104"/>
      <c r="T59" s="104"/>
      <c r="U59" s="104"/>
      <c r="V59" s="104"/>
      <c r="W59" s="103"/>
      <c r="X59" s="81"/>
    </row>
    <row r="60" spans="1:24" x14ac:dyDescent="0.35">
      <c r="A60" s="81"/>
      <c r="B60" s="139" t="str">
        <f>IF(taxcodetest,"Tax Code: "&amp;G61,"Tax Code: ")</f>
        <v xml:space="preserve">Tax Code: </v>
      </c>
      <c r="C60" s="140"/>
      <c r="D60" s="140"/>
      <c r="E60" s="140"/>
      <c r="F60" s="141"/>
      <c r="G60" s="24"/>
      <c r="H60" s="24"/>
      <c r="I60" s="24"/>
      <c r="J60" s="24"/>
      <c r="K60" s="24"/>
      <c r="L60" s="87"/>
      <c r="M60" s="107"/>
      <c r="N60" s="107"/>
      <c r="O60" s="3"/>
      <c r="P60" s="3"/>
      <c r="Q60" s="3"/>
      <c r="R60" s="3"/>
      <c r="S60" s="3"/>
      <c r="T60" s="3"/>
      <c r="U60" s="3"/>
      <c r="V60" s="3"/>
      <c r="W60" s="108"/>
      <c r="X60" s="108"/>
    </row>
    <row r="61" spans="1:24" x14ac:dyDescent="0.35">
      <c r="A61" s="81"/>
      <c r="B61" s="92" t="s">
        <v>2</v>
      </c>
      <c r="C61" s="94" t="s">
        <v>87</v>
      </c>
      <c r="D61" s="31">
        <f>VLOOKUP(freqtest,Table4[],5,FALSE)</f>
        <v>0</v>
      </c>
      <c r="E61" s="31" t="str">
        <f>LEFT(F67,3)</f>
        <v>0</v>
      </c>
      <c r="F61" s="95" t="s">
        <v>82</v>
      </c>
      <c r="G61" s="24" t="str">
        <f>D61&amp;E61</f>
        <v>00</v>
      </c>
      <c r="H61" s="24" t="b">
        <f>IF(LEN(G61)=4,TRUE,FALSE)</f>
        <v>0</v>
      </c>
      <c r="I61" s="24"/>
      <c r="J61" s="24"/>
      <c r="K61" s="24"/>
      <c r="L61" s="87"/>
      <c r="M61" s="108"/>
      <c r="N61" s="109"/>
      <c r="O61" s="3"/>
      <c r="P61" s="3"/>
      <c r="Q61" s="3"/>
      <c r="R61" s="3"/>
      <c r="S61" s="3"/>
      <c r="T61" s="3"/>
      <c r="U61" s="3"/>
      <c r="V61" s="3"/>
      <c r="W61" s="108"/>
      <c r="X61" s="108"/>
    </row>
    <row r="62" spans="1:24" x14ac:dyDescent="0.35">
      <c r="A62" s="81"/>
      <c r="B62" s="92" t="s">
        <v>83</v>
      </c>
      <c r="C62" s="32"/>
      <c r="D62" s="40"/>
      <c r="E62" s="40"/>
      <c r="F62" s="28" t="str">
        <f>personalallowance</f>
        <v/>
      </c>
      <c r="G62" s="24"/>
      <c r="H62" s="24"/>
      <c r="I62" s="24"/>
      <c r="J62" s="24"/>
      <c r="K62" s="24"/>
      <c r="L62" s="87"/>
      <c r="M62" s="108"/>
      <c r="N62" s="110"/>
      <c r="O62" s="3"/>
      <c r="P62" s="3"/>
      <c r="Q62" s="3"/>
      <c r="R62" s="3"/>
      <c r="S62" s="3"/>
      <c r="T62" s="3"/>
      <c r="U62" s="3"/>
      <c r="V62" s="3"/>
      <c r="W62" s="108"/>
      <c r="X62" s="108"/>
    </row>
    <row r="63" spans="1:24" x14ac:dyDescent="0.35">
      <c r="A63" s="81"/>
      <c r="B63" s="92" t="s">
        <v>11</v>
      </c>
      <c r="C63" s="5"/>
      <c r="D63" s="40"/>
      <c r="E63" s="40"/>
      <c r="F63" s="28">
        <f>allowspouse*divide2</f>
        <v>0</v>
      </c>
      <c r="G63" s="24"/>
      <c r="H63" s="24"/>
      <c r="I63" s="24"/>
      <c r="J63" s="24"/>
      <c r="K63" s="24"/>
      <c r="L63" s="87"/>
      <c r="M63" s="108"/>
      <c r="N63" s="111"/>
      <c r="O63" s="3"/>
      <c r="P63" s="3"/>
      <c r="Q63" s="3"/>
      <c r="R63" s="3"/>
      <c r="S63" s="3"/>
      <c r="T63" s="3"/>
      <c r="U63" s="3"/>
      <c r="V63" s="3"/>
      <c r="W63" s="108"/>
      <c r="X63" s="108"/>
    </row>
    <row r="64" spans="1:24" x14ac:dyDescent="0.35">
      <c r="A64" s="81"/>
      <c r="B64" s="92" t="s">
        <v>12</v>
      </c>
      <c r="C64" s="5"/>
      <c r="D64" s="40"/>
      <c r="E64" s="40"/>
      <c r="F64" s="28">
        <f>(allowchild1+allowchild2)*divide2</f>
        <v>0</v>
      </c>
      <c r="G64" s="24"/>
      <c r="H64" s="24"/>
      <c r="I64" s="24"/>
      <c r="J64" s="24"/>
      <c r="K64" s="24"/>
      <c r="L64" s="87"/>
      <c r="M64" s="106"/>
      <c r="N64" s="106"/>
      <c r="O64" s="3"/>
      <c r="P64" s="3"/>
      <c r="Q64" s="3"/>
      <c r="R64" s="3"/>
      <c r="S64" s="3"/>
      <c r="T64" s="3"/>
      <c r="U64" s="3"/>
      <c r="V64" s="3"/>
      <c r="W64" s="108"/>
      <c r="X64" s="108"/>
    </row>
    <row r="65" spans="1:24" x14ac:dyDescent="0.35">
      <c r="A65" s="81"/>
      <c r="B65" s="92" t="s">
        <v>14</v>
      </c>
      <c r="C65" s="5"/>
      <c r="D65" s="60"/>
      <c r="E65" s="40"/>
      <c r="F65" s="28" t="str">
        <f>IFERROR(IF((rrsp*divide2)&gt;annualmaxrrsp,annualmaxrrsp,IF(rrsp=833.33,10000,(rrsp*divide2))),"")</f>
        <v/>
      </c>
      <c r="G65" s="24"/>
      <c r="H65" s="24"/>
      <c r="I65" s="24"/>
      <c r="J65" s="24"/>
      <c r="K65" s="24"/>
      <c r="L65" s="87"/>
      <c r="M65" s="108"/>
      <c r="N65" s="106"/>
      <c r="O65" s="3"/>
      <c r="P65" s="3"/>
      <c r="Q65" s="3"/>
      <c r="R65" s="3"/>
      <c r="S65" s="3"/>
      <c r="T65" s="3"/>
      <c r="U65" s="3"/>
      <c r="V65" s="3"/>
      <c r="W65" s="108"/>
      <c r="X65" s="108"/>
    </row>
    <row r="66" spans="1:24" x14ac:dyDescent="0.35">
      <c r="A66" s="81"/>
      <c r="B66" s="92" t="s">
        <v>132</v>
      </c>
      <c r="C66" s="5"/>
      <c r="D66" s="61" t="e">
        <f>I56</f>
        <v>#N/A</v>
      </c>
      <c r="E66" s="40"/>
      <c r="F66" s="28">
        <f>IFERROR(IF((charityamt*divide2)&gt;(maxcharity*divide2),maxcharity*divide2,charityamt*divide2),0)</f>
        <v>0</v>
      </c>
      <c r="G66" s="24"/>
      <c r="H66" s="24"/>
      <c r="I66" s="24"/>
      <c r="J66" s="24"/>
      <c r="K66" s="24"/>
      <c r="L66" s="87"/>
      <c r="M66" s="108"/>
      <c r="N66" s="109"/>
      <c r="O66" s="3"/>
      <c r="P66" s="3"/>
      <c r="Q66" s="3"/>
      <c r="R66" s="3"/>
      <c r="S66" s="3"/>
      <c r="T66" s="3"/>
      <c r="U66" s="3"/>
      <c r="V66" s="3"/>
      <c r="W66" s="108"/>
      <c r="X66" s="108"/>
    </row>
    <row r="67" spans="1:24" ht="15" thickBot="1" x14ac:dyDescent="0.4">
      <c r="A67" s="81"/>
      <c r="B67" s="93" t="s">
        <v>84</v>
      </c>
      <c r="C67" s="34"/>
      <c r="D67" s="62"/>
      <c r="E67" s="62"/>
      <c r="F67" s="35">
        <f>SUM(F62:F66)</f>
        <v>0</v>
      </c>
      <c r="G67" s="24"/>
      <c r="H67" s="24"/>
      <c r="I67" s="24"/>
      <c r="J67" s="24"/>
      <c r="K67" s="24"/>
      <c r="L67" s="87"/>
      <c r="M67" s="108"/>
      <c r="N67" s="111"/>
      <c r="O67" s="3"/>
      <c r="P67" s="3"/>
      <c r="Q67" s="3"/>
      <c r="R67" s="3"/>
      <c r="S67" s="3"/>
      <c r="T67" s="3"/>
      <c r="U67" s="3"/>
      <c r="V67" s="3"/>
      <c r="W67" s="108"/>
      <c r="X67" s="108"/>
    </row>
    <row r="68" spans="1:24" x14ac:dyDescent="0.35">
      <c r="A68" s="137"/>
      <c r="B68" s="137"/>
      <c r="C68" s="137"/>
      <c r="D68" s="137"/>
      <c r="E68" s="137"/>
      <c r="F68" s="137"/>
      <c r="G68" s="137"/>
      <c r="H68" s="137"/>
      <c r="I68" s="137"/>
      <c r="J68" s="137"/>
      <c r="K68" s="137"/>
      <c r="L68" s="137"/>
      <c r="M68" s="137"/>
      <c r="N68" s="137"/>
      <c r="O68" s="137"/>
      <c r="P68" s="137"/>
      <c r="Q68" s="137"/>
      <c r="R68" s="137"/>
      <c r="S68" s="137"/>
      <c r="T68" s="137"/>
      <c r="U68" s="137"/>
      <c r="V68" s="137"/>
      <c r="W68" s="108"/>
      <c r="X68" s="108"/>
    </row>
  </sheetData>
  <sheetProtection algorithmName="SHA-512" hashValue="X8DUjV+zn5az2w7l6h5gcq8QYgZ/BwWul2SBLao0Z9mk52ZfjIUmaLkGlHP9k3I991a+qgj2ayC2FFSlAowkcA==" saltValue="6t0/phJGP4UAZbB+xU37lA==" spinCount="100000" sheet="1" objects="1" scenarios="1"/>
  <mergeCells count="8">
    <mergeCell ref="A1:V1"/>
    <mergeCell ref="G3:H3"/>
    <mergeCell ref="A68:V68"/>
    <mergeCell ref="A2:V2"/>
    <mergeCell ref="B60:F60"/>
    <mergeCell ref="N15:W15"/>
    <mergeCell ref="A13:X13"/>
    <mergeCell ref="A14:X14"/>
  </mergeCells>
  <conditionalFormatting sqref="C30">
    <cfRule type="expression" dxfId="69" priority="70">
      <formula>$I$17=6</formula>
    </cfRule>
  </conditionalFormatting>
  <conditionalFormatting sqref="C55">
    <cfRule type="expression" dxfId="68" priority="69">
      <formula>AND($D$55,$H$9)</formula>
    </cfRule>
  </conditionalFormatting>
  <conditionalFormatting sqref="C56">
    <cfRule type="expression" dxfId="67" priority="67">
      <formula>AND($H$9,$D$56)</formula>
    </cfRule>
  </conditionalFormatting>
  <conditionalFormatting sqref="B60 M61:N67 B61:F67 W60:X68">
    <cfRule type="expression" dxfId="66" priority="66">
      <formula>$H$9=FALSE</formula>
    </cfRule>
  </conditionalFormatting>
  <conditionalFormatting sqref="M60">
    <cfRule type="expression" dxfId="65" priority="65">
      <formula>$H$9=FALSE</formula>
    </cfRule>
  </conditionalFormatting>
  <conditionalFormatting sqref="A68:V68 A60:A67 O60:V67 L60:L67">
    <cfRule type="expression" dxfId="64" priority="64">
      <formula>$H$9=FALSE</formula>
    </cfRule>
  </conditionalFormatting>
  <conditionalFormatting sqref="B60:F67">
    <cfRule type="expression" dxfId="63" priority="62">
      <formula>$H$9=FALSE</formula>
    </cfRule>
    <cfRule type="expression" dxfId="62" priority="63">
      <formula>formattest=FALSE</formula>
    </cfRule>
  </conditionalFormatting>
  <conditionalFormatting sqref="M60:N67 W60:X68">
    <cfRule type="expression" dxfId="61" priority="61">
      <formula>$H$9=FALSE</formula>
    </cfRule>
  </conditionalFormatting>
  <conditionalFormatting sqref="N15:W40">
    <cfRule type="expression" dxfId="60" priority="1">
      <formula>$H$9=FALSE</formula>
    </cfRule>
  </conditionalFormatting>
  <hyperlinks>
    <hyperlink ref="O32" r:id="rId1" display="Total@Rate"/>
  </hyperlinks>
  <pageMargins left="0.7" right="0.7" top="0.75" bottom="0.75" header="0.3" footer="0.3"/>
  <pageSetup orientation="portrait" r:id="rId2"/>
  <ignoredErrors>
    <ignoredError sqref="F62 F67 B60" evalError="1"/>
  </ignoredErrors>
  <drawing r:id="rId3"/>
  <legacyDrawing r:id="rId4"/>
  <mc:AlternateContent xmlns:mc="http://schemas.openxmlformats.org/markup-compatibility/2006">
    <mc:Choice Requires="x14">
      <controls>
        <mc:AlternateContent xmlns:mc="http://schemas.openxmlformats.org/markup-compatibility/2006">
          <mc:Choice Requires="x14">
            <control shapeId="2050" r:id="rId5" name="Drop Down 2">
              <controlPr locked="0" defaultSize="0" autoLine="0" autoPict="0">
                <anchor moveWithCells="1">
                  <from>
                    <xdr:col>2</xdr:col>
                    <xdr:colOff>12700</xdr:colOff>
                    <xdr:row>16</xdr:row>
                    <xdr:rowOff>12700</xdr:rowOff>
                  </from>
                  <to>
                    <xdr:col>3</xdr:col>
                    <xdr:colOff>0</xdr:colOff>
                    <xdr:row>17</xdr:row>
                    <xdr:rowOff>0</xdr:rowOff>
                  </to>
                </anchor>
              </controlPr>
            </control>
          </mc:Choice>
        </mc:AlternateContent>
        <mc:AlternateContent xmlns:mc="http://schemas.openxmlformats.org/markup-compatibility/2006">
          <mc:Choice Requires="x14">
            <control shapeId="2077" r:id="rId6" name="Check Box 29">
              <controlPr locked="0" defaultSize="0" autoFill="0" autoLine="0" autoPict="0">
                <anchor moveWithCells="1">
                  <from>
                    <xdr:col>1</xdr:col>
                    <xdr:colOff>12700</xdr:colOff>
                    <xdr:row>48</xdr:row>
                    <xdr:rowOff>0</xdr:rowOff>
                  </from>
                  <to>
                    <xdr:col>1</xdr:col>
                    <xdr:colOff>927100</xdr:colOff>
                    <xdr:row>49</xdr:row>
                    <xdr:rowOff>0</xdr:rowOff>
                  </to>
                </anchor>
              </controlPr>
            </control>
          </mc:Choice>
        </mc:AlternateContent>
        <mc:AlternateContent xmlns:mc="http://schemas.openxmlformats.org/markup-compatibility/2006">
          <mc:Choice Requires="x14">
            <control shapeId="2078" r:id="rId7" name="Check Box 30">
              <controlPr locked="0" defaultSize="0" autoFill="0" autoLine="0" autoPict="0">
                <anchor moveWithCells="1">
                  <from>
                    <xdr:col>1</xdr:col>
                    <xdr:colOff>12700</xdr:colOff>
                    <xdr:row>49</xdr:row>
                    <xdr:rowOff>19050</xdr:rowOff>
                  </from>
                  <to>
                    <xdr:col>1</xdr:col>
                    <xdr:colOff>533400</xdr:colOff>
                    <xdr:row>50</xdr:row>
                    <xdr:rowOff>0</xdr:rowOff>
                  </to>
                </anchor>
              </controlPr>
            </control>
          </mc:Choice>
        </mc:AlternateContent>
        <mc:AlternateContent xmlns:mc="http://schemas.openxmlformats.org/markup-compatibility/2006">
          <mc:Choice Requires="x14">
            <control shapeId="2087" r:id="rId8" name="Group Box 39">
              <controlPr defaultSize="0" print="0" autoFill="0" autoPict="0">
                <anchor moveWithCells="1">
                  <from>
                    <xdr:col>1</xdr:col>
                    <xdr:colOff>31750</xdr:colOff>
                    <xdr:row>46</xdr:row>
                    <xdr:rowOff>184150</xdr:rowOff>
                  </from>
                  <to>
                    <xdr:col>2</xdr:col>
                    <xdr:colOff>0</xdr:colOff>
                    <xdr:row>48</xdr:row>
                    <xdr:rowOff>0</xdr:rowOff>
                  </to>
                </anchor>
              </controlPr>
            </control>
          </mc:Choice>
        </mc:AlternateContent>
        <mc:AlternateContent xmlns:mc="http://schemas.openxmlformats.org/markup-compatibility/2006">
          <mc:Choice Requires="x14">
            <control shapeId="2089" r:id="rId9" name="Option Button 41">
              <controlPr locked="0" defaultSize="0" autoFill="0" autoLine="0" autoPict="0">
                <anchor moveWithCells="1">
                  <from>
                    <xdr:col>1</xdr:col>
                    <xdr:colOff>57150</xdr:colOff>
                    <xdr:row>47</xdr:row>
                    <xdr:rowOff>0</xdr:rowOff>
                  </from>
                  <to>
                    <xdr:col>1</xdr:col>
                    <xdr:colOff>742950</xdr:colOff>
                    <xdr:row>47</xdr:row>
                    <xdr:rowOff>171450</xdr:rowOff>
                  </to>
                </anchor>
              </controlPr>
            </control>
          </mc:Choice>
        </mc:AlternateContent>
        <mc:AlternateContent xmlns:mc="http://schemas.openxmlformats.org/markup-compatibility/2006">
          <mc:Choice Requires="x14">
            <control shapeId="2091" r:id="rId10" name="Option Button 43">
              <controlPr locked="0" defaultSize="0" autoFill="0" autoLine="0" autoPict="0">
                <anchor moveWithCells="1">
                  <from>
                    <xdr:col>1</xdr:col>
                    <xdr:colOff>698500</xdr:colOff>
                    <xdr:row>47</xdr:row>
                    <xdr:rowOff>19050</xdr:rowOff>
                  </from>
                  <to>
                    <xdr:col>1</xdr:col>
                    <xdr:colOff>1308100</xdr:colOff>
                    <xdr:row>47</xdr:row>
                    <xdr:rowOff>165100</xdr:rowOff>
                  </to>
                </anchor>
              </controlPr>
            </control>
          </mc:Choice>
        </mc:AlternateContent>
        <mc:AlternateContent xmlns:mc="http://schemas.openxmlformats.org/markup-compatibility/2006">
          <mc:Choice Requires="x14">
            <control shapeId="2092" r:id="rId11" name="Group Box 44">
              <controlPr defaultSize="0" autoFill="0" autoPict="0">
                <anchor moveWithCells="1">
                  <from>
                    <xdr:col>1</xdr:col>
                    <xdr:colOff>1460500</xdr:colOff>
                    <xdr:row>51</xdr:row>
                    <xdr:rowOff>0</xdr:rowOff>
                  </from>
                  <to>
                    <xdr:col>2</xdr:col>
                    <xdr:colOff>0</xdr:colOff>
                    <xdr:row>52</xdr:row>
                    <xdr:rowOff>0</xdr:rowOff>
                  </to>
                </anchor>
              </controlPr>
            </control>
          </mc:Choice>
        </mc:AlternateContent>
        <mc:AlternateContent xmlns:mc="http://schemas.openxmlformats.org/markup-compatibility/2006">
          <mc:Choice Requires="x14">
            <control shapeId="2096" r:id="rId12" name="Option Button 48">
              <controlPr locked="0" defaultSize="0" autoFill="0" autoLine="0" autoPict="0">
                <anchor moveWithCells="1">
                  <from>
                    <xdr:col>1</xdr:col>
                    <xdr:colOff>1466850</xdr:colOff>
                    <xdr:row>51</xdr:row>
                    <xdr:rowOff>12700</xdr:rowOff>
                  </from>
                  <to>
                    <xdr:col>1</xdr:col>
                    <xdr:colOff>1828800</xdr:colOff>
                    <xdr:row>52</xdr:row>
                    <xdr:rowOff>0</xdr:rowOff>
                  </to>
                </anchor>
              </controlPr>
            </control>
          </mc:Choice>
        </mc:AlternateContent>
        <mc:AlternateContent xmlns:mc="http://schemas.openxmlformats.org/markup-compatibility/2006">
          <mc:Choice Requires="x14">
            <control shapeId="2097" r:id="rId13" name="Option Button 49">
              <controlPr locked="0" defaultSize="0" autoFill="0" autoLine="0" autoPict="0">
                <anchor moveWithCells="1">
                  <from>
                    <xdr:col>1</xdr:col>
                    <xdr:colOff>1828800</xdr:colOff>
                    <xdr:row>51</xdr:row>
                    <xdr:rowOff>12700</xdr:rowOff>
                  </from>
                  <to>
                    <xdr:col>1</xdr:col>
                    <xdr:colOff>2209800</xdr:colOff>
                    <xdr:row>52</xdr:row>
                    <xdr:rowOff>0</xdr:rowOff>
                  </to>
                </anchor>
              </controlPr>
            </control>
          </mc:Choice>
        </mc:AlternateContent>
        <mc:AlternateContent xmlns:mc="http://schemas.openxmlformats.org/markup-compatibility/2006">
          <mc:Choice Requires="x14">
            <control shapeId="2098" r:id="rId14" name="Group Box 50">
              <controlPr defaultSize="0" autoFill="0" autoPict="0">
                <anchor moveWithCells="1">
                  <from>
                    <xdr:col>1</xdr:col>
                    <xdr:colOff>1460500</xdr:colOff>
                    <xdr:row>52</xdr:row>
                    <xdr:rowOff>0</xdr:rowOff>
                  </from>
                  <to>
                    <xdr:col>2</xdr:col>
                    <xdr:colOff>0</xdr:colOff>
                    <xdr:row>53</xdr:row>
                    <xdr:rowOff>0</xdr:rowOff>
                  </to>
                </anchor>
              </controlPr>
            </control>
          </mc:Choice>
        </mc:AlternateContent>
        <mc:AlternateContent xmlns:mc="http://schemas.openxmlformats.org/markup-compatibility/2006">
          <mc:Choice Requires="x14">
            <control shapeId="2099" r:id="rId15" name="Option Button 51">
              <controlPr locked="0" defaultSize="0" autoFill="0" autoLine="0" autoPict="0">
                <anchor moveWithCells="1">
                  <from>
                    <xdr:col>1</xdr:col>
                    <xdr:colOff>1466850</xdr:colOff>
                    <xdr:row>52</xdr:row>
                    <xdr:rowOff>12700</xdr:rowOff>
                  </from>
                  <to>
                    <xdr:col>1</xdr:col>
                    <xdr:colOff>1803400</xdr:colOff>
                    <xdr:row>53</xdr:row>
                    <xdr:rowOff>0</xdr:rowOff>
                  </to>
                </anchor>
              </controlPr>
            </control>
          </mc:Choice>
        </mc:AlternateContent>
        <mc:AlternateContent xmlns:mc="http://schemas.openxmlformats.org/markup-compatibility/2006">
          <mc:Choice Requires="x14">
            <control shapeId="2101" r:id="rId16" name="Option Button 53">
              <controlPr locked="0" defaultSize="0" autoFill="0" autoLine="0" autoPict="0">
                <anchor moveWithCells="1">
                  <from>
                    <xdr:col>1</xdr:col>
                    <xdr:colOff>1828800</xdr:colOff>
                    <xdr:row>52</xdr:row>
                    <xdr:rowOff>0</xdr:rowOff>
                  </from>
                  <to>
                    <xdr:col>1</xdr:col>
                    <xdr:colOff>2184400</xdr:colOff>
                    <xdr:row>53</xdr:row>
                    <xdr:rowOff>0</xdr:rowOff>
                  </to>
                </anchor>
              </controlPr>
            </control>
          </mc:Choice>
        </mc:AlternateContent>
        <mc:AlternateContent xmlns:mc="http://schemas.openxmlformats.org/markup-compatibility/2006">
          <mc:Choice Requires="x14">
            <control shapeId="2105" r:id="rId17" name="Option Button 57">
              <controlPr locked="0" defaultSize="0" autoFill="0" autoLine="0" autoPict="0">
                <anchor moveWithCells="1">
                  <from>
                    <xdr:col>1</xdr:col>
                    <xdr:colOff>1352550</xdr:colOff>
                    <xdr:row>47</xdr:row>
                    <xdr:rowOff>19050</xdr:rowOff>
                  </from>
                  <to>
                    <xdr:col>1</xdr:col>
                    <xdr:colOff>1962150</xdr:colOff>
                    <xdr:row>47</xdr:row>
                    <xdr:rowOff>165100</xdr:rowOff>
                  </to>
                </anchor>
              </controlPr>
            </control>
          </mc:Choice>
        </mc:AlternateContent>
        <mc:AlternateContent xmlns:mc="http://schemas.openxmlformats.org/markup-compatibility/2006">
          <mc:Choice Requires="x14">
            <control shapeId="2107" r:id="rId18" name="Group Box 59">
              <controlPr defaultSize="0" autoFill="0" autoPict="0">
                <anchor moveWithCells="1">
                  <from>
                    <xdr:col>1</xdr:col>
                    <xdr:colOff>800100</xdr:colOff>
                    <xdr:row>48</xdr:row>
                    <xdr:rowOff>184150</xdr:rowOff>
                  </from>
                  <to>
                    <xdr:col>1</xdr:col>
                    <xdr:colOff>1498600</xdr:colOff>
                    <xdr:row>50</xdr:row>
                    <xdr:rowOff>31750</xdr:rowOff>
                  </to>
                </anchor>
              </controlPr>
            </control>
          </mc:Choice>
        </mc:AlternateContent>
        <mc:AlternateContent xmlns:mc="http://schemas.openxmlformats.org/markup-compatibility/2006">
          <mc:Choice Requires="x14">
            <control shapeId="2110" r:id="rId19" name="Option Button 62">
              <controlPr defaultSize="0" autoFill="0" autoLine="0" autoPict="0">
                <anchor moveWithCells="1">
                  <from>
                    <xdr:col>1</xdr:col>
                    <xdr:colOff>831850</xdr:colOff>
                    <xdr:row>49</xdr:row>
                    <xdr:rowOff>0</xdr:rowOff>
                  </from>
                  <to>
                    <xdr:col>1</xdr:col>
                    <xdr:colOff>1136650</xdr:colOff>
                    <xdr:row>50</xdr:row>
                    <xdr:rowOff>31750</xdr:rowOff>
                  </to>
                </anchor>
              </controlPr>
            </control>
          </mc:Choice>
        </mc:AlternateContent>
        <mc:AlternateContent xmlns:mc="http://schemas.openxmlformats.org/markup-compatibility/2006">
          <mc:Choice Requires="x14">
            <control shapeId="2111" r:id="rId20" name="Option Button 63">
              <controlPr defaultSize="0" autoFill="0" autoLine="0" autoPict="0">
                <anchor moveWithCells="1">
                  <from>
                    <xdr:col>1</xdr:col>
                    <xdr:colOff>1117600</xdr:colOff>
                    <xdr:row>49</xdr:row>
                    <xdr:rowOff>0</xdr:rowOff>
                  </from>
                  <to>
                    <xdr:col>1</xdr:col>
                    <xdr:colOff>1422400</xdr:colOff>
                    <xdr:row>50</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
  <sheetViews>
    <sheetView showGridLines="0" zoomScaleNormal="100" workbookViewId="0">
      <selection activeCell="AA9" sqref="AA9"/>
    </sheetView>
  </sheetViews>
  <sheetFormatPr defaultRowHeight="14.5" x14ac:dyDescent="0.35"/>
  <sheetData/>
  <sheetProtection algorithmName="SHA-512" hashValue="QPqTwhIFd1SlOwdmIHfOBI39fOxZiq190iKE7tV+R1Vn13Jjm2/hURrfsGo75/R3PyXQAya1hFG8UUypi3gLzw==" saltValue="DHVnoeYVCjQXDZ+keceEUA==" spinCount="100000" sheet="1" objects="1" scenarios="1"/>
  <pageMargins left="0.7" right="0.7" top="0.75" bottom="0.75" header="0.3" footer="0.3"/>
  <pageSetup paperSize="9" scale="63" orientation="portrait" r:id="rId1"/>
  <colBreaks count="1" manualBreakCount="1">
    <brk id="11" max="1048575" man="1"/>
  </colBreaks>
  <drawing r:id="rId2"/>
  <legacyDrawing r:id="rId3"/>
  <oleObjects>
    <mc:AlternateContent xmlns:mc="http://schemas.openxmlformats.org/markup-compatibility/2006">
      <mc:Choice Requires="x14">
        <oleObject progId="AcroExch.Document.11" shapeId="7176" r:id="rId4">
          <objectPr defaultSize="0" autoPict="0" r:id="rId5">
            <anchor moveWithCells="1">
              <from>
                <xdr:col>0</xdr:col>
                <xdr:colOff>0</xdr:colOff>
                <xdr:row>0</xdr:row>
                <xdr:rowOff>0</xdr:rowOff>
              </from>
              <to>
                <xdr:col>12</xdr:col>
                <xdr:colOff>266700</xdr:colOff>
                <xdr:row>51</xdr:row>
                <xdr:rowOff>95250</xdr:rowOff>
              </to>
            </anchor>
          </objectPr>
        </oleObject>
      </mc:Choice>
      <mc:Fallback>
        <oleObject progId="AcroExch.Document.11" shapeId="7176" r:id="rId4"/>
      </mc:Fallback>
    </mc:AlternateContent>
    <mc:AlternateContent xmlns:mc="http://schemas.openxmlformats.org/markup-compatibility/2006">
      <mc:Choice Requires="x14">
        <oleObject progId="AcroExch.Document.11" shapeId="7177" r:id="rId6">
          <objectPr defaultSize="0" autoPict="0" r:id="rId7">
            <anchor moveWithCells="1">
              <from>
                <xdr:col>12</xdr:col>
                <xdr:colOff>298450</xdr:colOff>
                <xdr:row>0</xdr:row>
                <xdr:rowOff>0</xdr:rowOff>
              </from>
              <to>
                <xdr:col>24</xdr:col>
                <xdr:colOff>565150</xdr:colOff>
                <xdr:row>51</xdr:row>
                <xdr:rowOff>95250</xdr:rowOff>
              </to>
            </anchor>
          </objectPr>
        </oleObject>
      </mc:Choice>
      <mc:Fallback>
        <oleObject progId="AcroExch.Document.11" shapeId="7177"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35"/>
  <sheetViews>
    <sheetView workbookViewId="0">
      <pane xSplit="4" ySplit="5" topLeftCell="E6" activePane="bottomRight" state="frozen"/>
      <selection activeCell="S15" sqref="S15"/>
      <selection pane="topRight" activeCell="S15" sqref="S15"/>
      <selection pane="bottomLeft" activeCell="S15" sqref="S15"/>
      <selection pane="bottomRight" activeCell="A14" sqref="A14"/>
    </sheetView>
  </sheetViews>
  <sheetFormatPr defaultRowHeight="14.5" x14ac:dyDescent="0.35"/>
  <cols>
    <col min="1" max="1" width="17.54296875" bestFit="1" customWidth="1"/>
    <col min="2" max="2" width="18.81640625" customWidth="1"/>
    <col min="3" max="3" width="12.1796875" bestFit="1" customWidth="1"/>
    <col min="4" max="4" width="14.7265625" customWidth="1"/>
    <col min="5" max="5" width="21" bestFit="1" customWidth="1"/>
    <col min="6" max="6" width="19.1796875" bestFit="1" customWidth="1"/>
    <col min="7" max="7" width="17.26953125" bestFit="1" customWidth="1"/>
    <col min="8" max="8" width="17.26953125" customWidth="1"/>
    <col min="9" max="9" width="13.453125" customWidth="1"/>
    <col min="10" max="10" width="17.1796875" bestFit="1" customWidth="1"/>
    <col min="11" max="11" width="12.7265625" customWidth="1"/>
    <col min="12" max="12" width="14.1796875" bestFit="1" customWidth="1"/>
    <col min="13" max="13" width="13.54296875" customWidth="1"/>
    <col min="14" max="14" width="13.7265625" bestFit="1" customWidth="1"/>
    <col min="15" max="15" width="11.81640625" bestFit="1" customWidth="1"/>
    <col min="16" max="16" width="13.81640625" bestFit="1" customWidth="1"/>
    <col min="17" max="17" width="17.81640625" bestFit="1" customWidth="1"/>
    <col min="18" max="18" width="20.26953125" bestFit="1" customWidth="1"/>
    <col min="19" max="19" width="18" bestFit="1" customWidth="1"/>
    <col min="20" max="20" width="21.26953125" bestFit="1" customWidth="1"/>
    <col min="21" max="21" width="16.1796875" bestFit="1" customWidth="1"/>
    <col min="22" max="22" width="20.54296875" bestFit="1" customWidth="1"/>
    <col min="23" max="23" width="17.54296875" customWidth="1"/>
    <col min="24" max="24" width="20.1796875" customWidth="1"/>
    <col min="25" max="25" width="17.54296875" customWidth="1"/>
  </cols>
  <sheetData>
    <row r="1" spans="1:25" x14ac:dyDescent="0.35">
      <c r="A1" t="s">
        <v>18</v>
      </c>
      <c r="B1">
        <f>salaryyear</f>
        <v>0</v>
      </c>
    </row>
    <row r="2" spans="1:25" x14ac:dyDescent="0.35">
      <c r="A2" t="s">
        <v>25</v>
      </c>
      <c r="B2" s="4" t="str">
        <f>VLOOKUP(freqtest,'Additional Tables'!A1:B8,2,FALSE)</f>
        <v>Select</v>
      </c>
    </row>
    <row r="3" spans="1:25" x14ac:dyDescent="0.35">
      <c r="A3" t="s">
        <v>62</v>
      </c>
      <c r="B3" s="7">
        <f ca="1">netincome</f>
        <v>0</v>
      </c>
    </row>
    <row r="5" spans="1:25" x14ac:dyDescent="0.35">
      <c r="A5" s="6" t="s">
        <v>16</v>
      </c>
      <c r="B5" s="6" t="s">
        <v>61</v>
      </c>
      <c r="C5" t="s">
        <v>17</v>
      </c>
      <c r="D5" t="s">
        <v>48</v>
      </c>
      <c r="E5" t="s">
        <v>52</v>
      </c>
      <c r="F5" t="s">
        <v>69</v>
      </c>
      <c r="G5" t="s">
        <v>67</v>
      </c>
      <c r="H5" t="s">
        <v>14</v>
      </c>
      <c r="I5" t="s">
        <v>70</v>
      </c>
      <c r="J5" t="s">
        <v>68</v>
      </c>
      <c r="K5" t="s">
        <v>5</v>
      </c>
      <c r="L5" t="s">
        <v>6</v>
      </c>
      <c r="M5" t="s">
        <v>7</v>
      </c>
      <c r="N5" t="s">
        <v>8</v>
      </c>
      <c r="O5" t="s">
        <v>9</v>
      </c>
      <c r="P5" t="s">
        <v>72</v>
      </c>
      <c r="Q5" t="s">
        <v>66</v>
      </c>
      <c r="R5" t="s">
        <v>64</v>
      </c>
      <c r="S5" t="s">
        <v>74</v>
      </c>
      <c r="T5" t="s">
        <v>63</v>
      </c>
      <c r="U5" t="s">
        <v>73</v>
      </c>
      <c r="V5" t="s">
        <v>65</v>
      </c>
      <c r="W5" t="s">
        <v>75</v>
      </c>
      <c r="X5" t="s">
        <v>76</v>
      </c>
      <c r="Y5" t="s">
        <v>77</v>
      </c>
    </row>
    <row r="6" spans="1:25" x14ac:dyDescent="0.35">
      <c r="A6" s="6">
        <v>1</v>
      </c>
      <c r="B6" s="6">
        <f>VLOOKUP(breakdownfrequency,Table4[[#All],[Frequency]:[Divide]],2,FALSE)</f>
        <v>0</v>
      </c>
      <c r="C6" s="1">
        <f>EOMONTH(DATE(breakdownsalaryyear,Table3[[#This Row],[Count]],1),0)</f>
        <v>31</v>
      </c>
      <c r="D6" s="7">
        <f t="shared" ref="D6:D17" ca="1" si="0">IF(breakdownfrequency="annual",breakdownnetincome/12,breakdownnetincome)</f>
        <v>0</v>
      </c>
      <c r="E6" s="9" t="e">
        <f>personalallowance/Table3[[#This Row],[Divide By]]</f>
        <v>#VALUE!</v>
      </c>
      <c r="F6" s="9" t="e">
        <f>annualspousecode/Table3[[#This Row],[Divide By]]</f>
        <v>#DIV/0!</v>
      </c>
      <c r="G6" s="9" t="e">
        <f>annualchildcode/Table3[[#This Row],[Divide By]]</f>
        <v>#DIV/0!</v>
      </c>
      <c r="H6" s="9" t="e">
        <f>rrspamt/Table3[[#This Row],[Divide By]]</f>
        <v>#VALUE!</v>
      </c>
      <c r="I6" s="9" t="e">
        <f>annualcharity/Table3[[#This Row],[Divide By]]</f>
        <v>#DIV/0!</v>
      </c>
      <c r="J6" s="10" t="e">
        <f>SUM(Table3[[#This Row],[Personal Allowance]:[Donations]])</f>
        <v>#VALUE!</v>
      </c>
      <c r="K6" s="15" t="e">
        <f>VLOOKUP(Table3[[#This Row],[Month]],taxratetable[#All],2,TRUE)/Table3[[#This Row],[Divide By]]</f>
        <v>#N/A</v>
      </c>
      <c r="L6" s="15" t="e">
        <f>VLOOKUP(Table3[[#This Row],[Month]],taxratetable[#All],3,TRUE)/Table3[[#This Row],[Divide By]]</f>
        <v>#N/A</v>
      </c>
      <c r="M6" s="19" t="e">
        <f>VLOOKUP(Table3[[#This Row],[Month]],taxratetable[#All],4,TRUE)</f>
        <v>#N/A</v>
      </c>
      <c r="N6" s="19" t="e">
        <f>VLOOKUP(Table3[[#This Row],[Month]],taxratetable[#All],5,TRUE)</f>
        <v>#N/A</v>
      </c>
      <c r="O6" s="19" t="e">
        <f>VLOOKUP(Table3[[#This Row],[Month]],taxratetable[#All],6,TRUE)</f>
        <v>#N/A</v>
      </c>
      <c r="P6" s="21" t="e">
        <f>IF(Table3[[#This Row],[ThirdRate]]&gt;0,TRUE,FALSE)</f>
        <v>#N/A</v>
      </c>
      <c r="Q6" s="17" t="e">
        <f ca="1">IF(Table3[[#This Row],[ Salary]]&gt;Table3[[#This Row],[TotalAllowance]],Table3[[#This Row],[ Salary]]-Table3[[#This Row],[TotalAllowance]],0)</f>
        <v>#VALUE!</v>
      </c>
      <c r="R6" s="7" t="e">
        <f ca="1">IF(Table3[[#This Row],[Taxable Amount]]&gt;Table3[[#This Row],[FirstBand]],Table3[[#This Row],[FirstBand]],IF(AND(Table3[[#This Row],[Taxable Amount]]&gt;0,OR(Table3[[#This Row],[Taxable Amount]]&lt;Table3[[#This Row],[FirstBand]],Table3[[#This Row],[Taxable Amount]]=Table3[[#This Row],[FirstBand]])),Table3[[#This Row],[Taxable Amount]],0))</f>
        <v>#VALUE!</v>
      </c>
      <c r="S6" s="21" t="e">
        <f ca="1">IF((Table3[[#This Row],[Taxable Amount]]-Table3[[#This Row],[Salary @ First Rate]])&gt;0,TRUE,FALSE)</f>
        <v>#VALUE!</v>
      </c>
      <c r="T6" s="7" t="e">
        <f ca="1">IF(Table3[[#This Row],[SecondBandTest]],IF(Table3[[#This Row],[ThirdRate??]],IF((Table3[[#This Row],[Taxable Amount]]-Table3[[#This Row],[Salary @ First Rate]])&gt;Table3[[#This Row],[SecondBand]],Table3[[#This Row],[SecondBand]],Table3[[#This Row],[Taxable Amount]]-Table3[[#This Row],[Salary @ First Rate]]),Table3[[#This Row],[Taxable Amount]]-Table3[[#This Row],[Salary @ First Rate]]),0)</f>
        <v>#VALUE!</v>
      </c>
      <c r="U6" s="21" t="e">
        <f ca="1">IF(AND(Table3[[#This Row],[Taxable Amount]]&gt;(Table3[[#This Row],[FirstBand]]+Table3[[#This Row],[SecondBand]]),Table3[[#This Row],[ThirdRate??]]),TRUE,FALSE)</f>
        <v>#VALUE!</v>
      </c>
      <c r="V6" s="7" t="e">
        <f ca="1">IF(Table3[[#This Row],[ThirdBandTest]],Table3[[#This Row],[Taxable Amount]]-(Table3[[#This Row],[FirstBand]]+Table3[[#This Row],[SecondBand]]),0)</f>
        <v>#VALUE!</v>
      </c>
      <c r="W6" s="7" t="e">
        <f ca="1">Table3[[#This Row],[Salary @ First Rate]]*Table3[[#This Row],[FirstRate]]</f>
        <v>#VALUE!</v>
      </c>
      <c r="X6" s="7" t="e">
        <f ca="1">Table3[[#This Row],[Salary @ Second Rate]]*Table3[[#This Row],[SecondRate]]</f>
        <v>#VALUE!</v>
      </c>
      <c r="Y6" s="7" t="e">
        <f ca="1">Table3[[#This Row],[Salary @ Third Rate]]*Table3[[#This Row],[ThirdRate]]</f>
        <v>#VALUE!</v>
      </c>
    </row>
    <row r="7" spans="1:25" x14ac:dyDescent="0.35">
      <c r="A7" s="6">
        <v>2</v>
      </c>
      <c r="B7" s="6">
        <f>VLOOKUP(breakdownfrequency,Table4[[#All],[Frequency]:[Divide]],2,FALSE)</f>
        <v>0</v>
      </c>
      <c r="C7" s="1">
        <f>EOMONTH(DATE(breakdownsalaryyear,Table3[[#This Row],[Count]],1),0)</f>
        <v>59</v>
      </c>
      <c r="D7" s="7">
        <f t="shared" ca="1" si="0"/>
        <v>0</v>
      </c>
      <c r="E7" s="9" t="e">
        <f>personalallowance/Table3[[#This Row],[Divide By]]</f>
        <v>#VALUE!</v>
      </c>
      <c r="F7" s="9" t="e">
        <f>annualspousecode/Table3[[#This Row],[Divide By]]</f>
        <v>#DIV/0!</v>
      </c>
      <c r="G7" s="9" t="e">
        <f>annualchildcode/Table3[[#This Row],[Divide By]]</f>
        <v>#DIV/0!</v>
      </c>
      <c r="H7" s="9" t="e">
        <f>rrspamt/Table3[[#This Row],[Divide By]]</f>
        <v>#VALUE!</v>
      </c>
      <c r="I7" s="9" t="e">
        <f>annualcharity/Table3[[#This Row],[Divide By]]</f>
        <v>#DIV/0!</v>
      </c>
      <c r="J7" s="10" t="e">
        <f>SUM(Table3[[#This Row],[Personal Allowance]:[Donations]])</f>
        <v>#VALUE!</v>
      </c>
      <c r="K7" s="16" t="e">
        <f>VLOOKUP(Table3[[#This Row],[Month]],taxratetable[#All],2,TRUE)/Table3[[#This Row],[Divide By]]</f>
        <v>#N/A</v>
      </c>
      <c r="L7" s="16" t="e">
        <f>VLOOKUP(Table3[[#This Row],[Month]],taxratetable[#All],3,TRUE)/Table3[[#This Row],[Divide By]]</f>
        <v>#N/A</v>
      </c>
      <c r="M7" s="19" t="e">
        <f>VLOOKUP(Table3[[#This Row],[Month]],taxratetable[#All],4,TRUE)</f>
        <v>#N/A</v>
      </c>
      <c r="N7" s="20" t="e">
        <f>VLOOKUP(Table3[[#This Row],[Month]],taxratetable[#All],5,TRUE)</f>
        <v>#N/A</v>
      </c>
      <c r="O7" s="20" t="e">
        <f>VLOOKUP(Table3[[#This Row],[Month]],taxratetable[#All],6,TRUE)</f>
        <v>#N/A</v>
      </c>
      <c r="P7" s="22" t="e">
        <f>IF(Table3[[#This Row],[ThirdRate]]&gt;0,TRUE,FALSE)</f>
        <v>#N/A</v>
      </c>
      <c r="Q7" s="17" t="e">
        <f ca="1">IF(Table3[[#This Row],[ Salary]]&gt;Table3[[#This Row],[TotalAllowance]],Table3[[#This Row],[ Salary]]-Table3[[#This Row],[TotalAllowance]],0)</f>
        <v>#VALUE!</v>
      </c>
      <c r="R7" s="7" t="e">
        <f ca="1">IF(Table3[[#This Row],[Taxable Amount]]&gt;Table3[[#This Row],[FirstBand]],Table3[[#This Row],[FirstBand]],IF(AND(Table3[[#This Row],[Taxable Amount]]&gt;0,OR(Table3[[#This Row],[Taxable Amount]]&lt;Table3[[#This Row],[FirstBand]],Table3[[#This Row],[Taxable Amount]]=Table3[[#This Row],[FirstBand]])),Table3[[#This Row],[Taxable Amount]],0))</f>
        <v>#VALUE!</v>
      </c>
      <c r="S7" s="21" t="e">
        <f ca="1">IF((Table3[[#This Row],[Taxable Amount]]-Table3[[#This Row],[Salary @ First Rate]])&gt;0,TRUE,FALSE)</f>
        <v>#VALUE!</v>
      </c>
      <c r="T7" s="7" t="e">
        <f ca="1">IF(Table3[[#This Row],[SecondBandTest]],IF(Table3[[#This Row],[ThirdRate??]],IF((Table3[[#This Row],[Taxable Amount]]-Table3[[#This Row],[Salary @ First Rate]])&gt;Table3[[#This Row],[SecondBand]],Table3[[#This Row],[SecondBand]],Table3[[#This Row],[Taxable Amount]]-Table3[[#This Row],[Salary @ First Rate]]),Table3[[#This Row],[Taxable Amount]]-Table3[[#This Row],[Salary @ First Rate]]),0)</f>
        <v>#VALUE!</v>
      </c>
      <c r="U7" s="21" t="e">
        <f ca="1">IF(AND(Table3[[#This Row],[Taxable Amount]]&gt;(Table3[[#This Row],[FirstBand]]+Table3[[#This Row],[SecondBand]]),Table3[[#This Row],[ThirdRate??]]),TRUE,FALSE)</f>
        <v>#VALUE!</v>
      </c>
      <c r="V7" s="7" t="e">
        <f ca="1">IF(Table3[[#This Row],[ThirdBandTest]],Table3[[#This Row],[Taxable Amount]]-(Table3[[#This Row],[FirstBand]]+Table3[[#This Row],[SecondBand]]),0)</f>
        <v>#VALUE!</v>
      </c>
      <c r="W7" s="7" t="e">
        <f ca="1">Table3[[#This Row],[Salary @ First Rate]]*Table3[[#This Row],[FirstRate]]</f>
        <v>#VALUE!</v>
      </c>
      <c r="X7" s="7" t="e">
        <f ca="1">Table3[[#This Row],[Salary @ Second Rate]]*Table3[[#This Row],[SecondRate]]</f>
        <v>#VALUE!</v>
      </c>
      <c r="Y7" s="7" t="e">
        <f ca="1">Table3[[#This Row],[Salary @ Third Rate]]*Table3[[#This Row],[ThirdRate]]</f>
        <v>#VALUE!</v>
      </c>
    </row>
    <row r="8" spans="1:25" x14ac:dyDescent="0.35">
      <c r="A8" s="6">
        <v>3</v>
      </c>
      <c r="B8" s="6">
        <f>VLOOKUP(breakdownfrequency,Table4[[#All],[Frequency]:[Divide]],2,FALSE)</f>
        <v>0</v>
      </c>
      <c r="C8" s="1">
        <f>EOMONTH(DATE(breakdownsalaryyear,Table3[[#This Row],[Count]],1),0)</f>
        <v>91</v>
      </c>
      <c r="D8" s="7">
        <f t="shared" ca="1" si="0"/>
        <v>0</v>
      </c>
      <c r="E8" s="9" t="e">
        <f>personalallowance/Table3[[#This Row],[Divide By]]</f>
        <v>#VALUE!</v>
      </c>
      <c r="F8" s="9" t="e">
        <f>annualspousecode/Table3[[#This Row],[Divide By]]</f>
        <v>#DIV/0!</v>
      </c>
      <c r="G8" s="9" t="e">
        <f>annualchildcode/Table3[[#This Row],[Divide By]]</f>
        <v>#DIV/0!</v>
      </c>
      <c r="H8" s="9" t="e">
        <f>rrspamt/Table3[[#This Row],[Divide By]]</f>
        <v>#VALUE!</v>
      </c>
      <c r="I8" s="9" t="e">
        <f>annualcharity/Table3[[#This Row],[Divide By]]</f>
        <v>#DIV/0!</v>
      </c>
      <c r="J8" s="10" t="e">
        <f>SUM(Table3[[#This Row],[Personal Allowance]:[Donations]])</f>
        <v>#VALUE!</v>
      </c>
      <c r="K8" s="16" t="e">
        <f>VLOOKUP(Table3[[#This Row],[Month]],taxratetable[#All],2,TRUE)/Table3[[#This Row],[Divide By]]</f>
        <v>#N/A</v>
      </c>
      <c r="L8" s="16" t="e">
        <f>VLOOKUP(Table3[[#This Row],[Month]],taxratetable[#All],3,TRUE)/Table3[[#This Row],[Divide By]]</f>
        <v>#N/A</v>
      </c>
      <c r="M8" s="19" t="e">
        <f>VLOOKUP(Table3[[#This Row],[Month]],taxratetable[#All],4,TRUE)</f>
        <v>#N/A</v>
      </c>
      <c r="N8" s="20" t="e">
        <f>VLOOKUP(Table3[[#This Row],[Month]],taxratetable[#All],5,TRUE)</f>
        <v>#N/A</v>
      </c>
      <c r="O8" s="20" t="e">
        <f>VLOOKUP(Table3[[#This Row],[Month]],taxratetable[#All],6,TRUE)</f>
        <v>#N/A</v>
      </c>
      <c r="P8" s="22" t="e">
        <f>IF(Table3[[#This Row],[ThirdRate]]&gt;0,TRUE,FALSE)</f>
        <v>#N/A</v>
      </c>
      <c r="Q8" s="17" t="e">
        <f ca="1">IF(Table3[[#This Row],[ Salary]]&gt;Table3[[#This Row],[TotalAllowance]],Table3[[#This Row],[ Salary]]-Table3[[#This Row],[TotalAllowance]],0)</f>
        <v>#VALUE!</v>
      </c>
      <c r="R8" s="7" t="e">
        <f ca="1">IF(Table3[[#This Row],[Taxable Amount]]&gt;Table3[[#This Row],[FirstBand]],Table3[[#This Row],[FirstBand]],IF(AND(Table3[[#This Row],[Taxable Amount]]&gt;0,OR(Table3[[#This Row],[Taxable Amount]]&lt;Table3[[#This Row],[FirstBand]],Table3[[#This Row],[Taxable Amount]]=Table3[[#This Row],[FirstBand]])),Table3[[#This Row],[Taxable Amount]],0))</f>
        <v>#VALUE!</v>
      </c>
      <c r="S8" s="21" t="e">
        <f ca="1">IF((Table3[[#This Row],[Taxable Amount]]-Table3[[#This Row],[Salary @ First Rate]])&gt;0,TRUE,FALSE)</f>
        <v>#VALUE!</v>
      </c>
      <c r="T8" s="7" t="e">
        <f ca="1">IF(Table3[[#This Row],[SecondBandTest]],IF(Table3[[#This Row],[ThirdRate??]],IF((Table3[[#This Row],[Taxable Amount]]-Table3[[#This Row],[Salary @ First Rate]])&gt;Table3[[#This Row],[SecondBand]],Table3[[#This Row],[SecondBand]],Table3[[#This Row],[Taxable Amount]]-Table3[[#This Row],[Salary @ First Rate]]),Table3[[#This Row],[Taxable Amount]]-Table3[[#This Row],[Salary @ First Rate]]),0)</f>
        <v>#VALUE!</v>
      </c>
      <c r="U8" s="21" t="e">
        <f ca="1">IF(AND(Table3[[#This Row],[Taxable Amount]]&gt;(Table3[[#This Row],[FirstBand]]+Table3[[#This Row],[SecondBand]]),Table3[[#This Row],[ThirdRate??]]),TRUE,FALSE)</f>
        <v>#VALUE!</v>
      </c>
      <c r="V8" s="7" t="e">
        <f ca="1">IF(Table3[[#This Row],[ThirdBandTest]],Table3[[#This Row],[Taxable Amount]]-(Table3[[#This Row],[FirstBand]]+Table3[[#This Row],[SecondBand]]),0)</f>
        <v>#VALUE!</v>
      </c>
      <c r="W8" s="7" t="e">
        <f ca="1">Table3[[#This Row],[Salary @ First Rate]]*Table3[[#This Row],[FirstRate]]</f>
        <v>#VALUE!</v>
      </c>
      <c r="X8" s="7" t="e">
        <f ca="1">Table3[[#This Row],[Salary @ Second Rate]]*Table3[[#This Row],[SecondRate]]</f>
        <v>#VALUE!</v>
      </c>
      <c r="Y8" s="7" t="e">
        <f ca="1">Table3[[#This Row],[Salary @ Third Rate]]*Table3[[#This Row],[ThirdRate]]</f>
        <v>#VALUE!</v>
      </c>
    </row>
    <row r="9" spans="1:25" x14ac:dyDescent="0.35">
      <c r="A9" s="6">
        <v>4</v>
      </c>
      <c r="B9" s="6">
        <f>VLOOKUP(breakdownfrequency,Table4[[#All],[Frequency]:[Divide]],2,FALSE)</f>
        <v>0</v>
      </c>
      <c r="C9" s="1">
        <f>EOMONTH(DATE(breakdownsalaryyear,Table3[[#This Row],[Count]],1),0)</f>
        <v>121</v>
      </c>
      <c r="D9" s="7">
        <f t="shared" ca="1" si="0"/>
        <v>0</v>
      </c>
      <c r="E9" s="9" t="e">
        <f>personalallowance/Table3[[#This Row],[Divide By]]</f>
        <v>#VALUE!</v>
      </c>
      <c r="F9" s="9" t="e">
        <f>annualspousecode/Table3[[#This Row],[Divide By]]</f>
        <v>#DIV/0!</v>
      </c>
      <c r="G9" s="9" t="e">
        <f>annualchildcode/Table3[[#This Row],[Divide By]]</f>
        <v>#DIV/0!</v>
      </c>
      <c r="H9" s="9" t="e">
        <f>rrspamt/Table3[[#This Row],[Divide By]]</f>
        <v>#VALUE!</v>
      </c>
      <c r="I9" s="9" t="e">
        <f>annualcharity/Table3[[#This Row],[Divide By]]</f>
        <v>#DIV/0!</v>
      </c>
      <c r="J9" s="10" t="e">
        <f>SUM(Table3[[#This Row],[Personal Allowance]:[Donations]])</f>
        <v>#VALUE!</v>
      </c>
      <c r="K9" s="16" t="e">
        <f>VLOOKUP(Table3[[#This Row],[Month]],taxratetable[#All],2,TRUE)/Table3[[#This Row],[Divide By]]</f>
        <v>#N/A</v>
      </c>
      <c r="L9" s="16" t="e">
        <f>VLOOKUP(Table3[[#This Row],[Month]],taxratetable[#All],3,TRUE)/Table3[[#This Row],[Divide By]]</f>
        <v>#N/A</v>
      </c>
      <c r="M9" s="19" t="e">
        <f>VLOOKUP(Table3[[#This Row],[Month]],taxratetable[#All],4,TRUE)</f>
        <v>#N/A</v>
      </c>
      <c r="N9" s="20" t="e">
        <f>VLOOKUP(Table3[[#This Row],[Month]],taxratetable[#All],5,TRUE)</f>
        <v>#N/A</v>
      </c>
      <c r="O9" s="20" t="e">
        <f>VLOOKUP(Table3[[#This Row],[Month]],taxratetable[#All],6,TRUE)</f>
        <v>#N/A</v>
      </c>
      <c r="P9" s="22" t="e">
        <f>IF(Table3[[#This Row],[ThirdRate]]&gt;0,TRUE,FALSE)</f>
        <v>#N/A</v>
      </c>
      <c r="Q9" s="17" t="e">
        <f ca="1">IF(Table3[[#This Row],[ Salary]]&gt;Table3[[#This Row],[TotalAllowance]],Table3[[#This Row],[ Salary]]-Table3[[#This Row],[TotalAllowance]],0)</f>
        <v>#VALUE!</v>
      </c>
      <c r="R9" s="7" t="e">
        <f ca="1">IF(Table3[[#This Row],[Taxable Amount]]&gt;Table3[[#This Row],[FirstBand]],Table3[[#This Row],[FirstBand]],IF(AND(Table3[[#This Row],[Taxable Amount]]&gt;0,OR(Table3[[#This Row],[Taxable Amount]]&lt;Table3[[#This Row],[FirstBand]],Table3[[#This Row],[Taxable Amount]]=Table3[[#This Row],[FirstBand]])),Table3[[#This Row],[Taxable Amount]],0))</f>
        <v>#VALUE!</v>
      </c>
      <c r="S9" s="21" t="e">
        <f ca="1">IF((Table3[[#This Row],[Taxable Amount]]-Table3[[#This Row],[Salary @ First Rate]])&gt;0,TRUE,FALSE)</f>
        <v>#VALUE!</v>
      </c>
      <c r="T9" s="7" t="e">
        <f ca="1">IF(Table3[[#This Row],[SecondBandTest]],IF(Table3[[#This Row],[ThirdRate??]],IF((Table3[[#This Row],[Taxable Amount]]-Table3[[#This Row],[Salary @ First Rate]])&gt;Table3[[#This Row],[SecondBand]],Table3[[#This Row],[SecondBand]],Table3[[#This Row],[Taxable Amount]]-Table3[[#This Row],[Salary @ First Rate]]),Table3[[#This Row],[Taxable Amount]]-Table3[[#This Row],[Salary @ First Rate]]),0)</f>
        <v>#VALUE!</v>
      </c>
      <c r="U9" s="21" t="e">
        <f ca="1">IF(AND(Table3[[#This Row],[Taxable Amount]]&gt;(Table3[[#This Row],[FirstBand]]+Table3[[#This Row],[SecondBand]]),Table3[[#This Row],[ThirdRate??]]),TRUE,FALSE)</f>
        <v>#VALUE!</v>
      </c>
      <c r="V9" s="7" t="e">
        <f ca="1">IF(Table3[[#This Row],[ThirdBandTest]],Table3[[#This Row],[Taxable Amount]]-(Table3[[#This Row],[FirstBand]]+Table3[[#This Row],[SecondBand]]),0)</f>
        <v>#VALUE!</v>
      </c>
      <c r="W9" s="7" t="e">
        <f ca="1">Table3[[#This Row],[Salary @ First Rate]]*Table3[[#This Row],[FirstRate]]</f>
        <v>#VALUE!</v>
      </c>
      <c r="X9" s="7" t="e">
        <f ca="1">Table3[[#This Row],[Salary @ Second Rate]]*Table3[[#This Row],[SecondRate]]</f>
        <v>#VALUE!</v>
      </c>
      <c r="Y9" s="7" t="e">
        <f ca="1">Table3[[#This Row],[Salary @ Third Rate]]*Table3[[#This Row],[ThirdRate]]</f>
        <v>#VALUE!</v>
      </c>
    </row>
    <row r="10" spans="1:25" x14ac:dyDescent="0.35">
      <c r="A10" s="6">
        <v>5</v>
      </c>
      <c r="B10" s="6">
        <f>VLOOKUP(breakdownfrequency,Table4[[#All],[Frequency]:[Divide]],2,FALSE)</f>
        <v>0</v>
      </c>
      <c r="C10" s="1">
        <f>EOMONTH(DATE(breakdownsalaryyear,Table3[[#This Row],[Count]],1),0)</f>
        <v>152</v>
      </c>
      <c r="D10" s="7">
        <f t="shared" ca="1" si="0"/>
        <v>0</v>
      </c>
      <c r="E10" s="9" t="e">
        <f>personalallowance/Table3[[#This Row],[Divide By]]</f>
        <v>#VALUE!</v>
      </c>
      <c r="F10" s="9" t="e">
        <f>annualspousecode/Table3[[#This Row],[Divide By]]</f>
        <v>#DIV/0!</v>
      </c>
      <c r="G10" s="9" t="e">
        <f>annualchildcode/Table3[[#This Row],[Divide By]]</f>
        <v>#DIV/0!</v>
      </c>
      <c r="H10" s="9" t="e">
        <f>rrspamt/Table3[[#This Row],[Divide By]]</f>
        <v>#VALUE!</v>
      </c>
      <c r="I10" s="9" t="e">
        <f>annualcharity/Table3[[#This Row],[Divide By]]</f>
        <v>#DIV/0!</v>
      </c>
      <c r="J10" s="10" t="e">
        <f>SUM(Table3[[#This Row],[Personal Allowance]:[Donations]])</f>
        <v>#VALUE!</v>
      </c>
      <c r="K10" s="16" t="e">
        <f>VLOOKUP(Table3[[#This Row],[Month]],taxratetable[#All],2,TRUE)/Table3[[#This Row],[Divide By]]</f>
        <v>#N/A</v>
      </c>
      <c r="L10" s="16" t="e">
        <f>VLOOKUP(Table3[[#This Row],[Month]],taxratetable[#All],3,TRUE)/Table3[[#This Row],[Divide By]]</f>
        <v>#N/A</v>
      </c>
      <c r="M10" s="19" t="e">
        <f>VLOOKUP(Table3[[#This Row],[Month]],taxratetable[#All],4,TRUE)</f>
        <v>#N/A</v>
      </c>
      <c r="N10" s="20" t="e">
        <f>VLOOKUP(Table3[[#This Row],[Month]],taxratetable[#All],5,TRUE)</f>
        <v>#N/A</v>
      </c>
      <c r="O10" s="20" t="e">
        <f>VLOOKUP(Table3[[#This Row],[Month]],taxratetable[#All],6,TRUE)</f>
        <v>#N/A</v>
      </c>
      <c r="P10" s="22" t="e">
        <f>IF(Table3[[#This Row],[ThirdRate]]&gt;0,TRUE,FALSE)</f>
        <v>#N/A</v>
      </c>
      <c r="Q10" s="17" t="e">
        <f ca="1">IF(Table3[[#This Row],[ Salary]]&gt;Table3[[#This Row],[TotalAllowance]],Table3[[#This Row],[ Salary]]-Table3[[#This Row],[TotalAllowance]],0)</f>
        <v>#VALUE!</v>
      </c>
      <c r="R10" s="7" t="e">
        <f ca="1">IF(Table3[[#This Row],[Taxable Amount]]&gt;Table3[[#This Row],[FirstBand]],Table3[[#This Row],[FirstBand]],IF(AND(Table3[[#This Row],[Taxable Amount]]&gt;0,OR(Table3[[#This Row],[Taxable Amount]]&lt;Table3[[#This Row],[FirstBand]],Table3[[#This Row],[Taxable Amount]]=Table3[[#This Row],[FirstBand]])),Table3[[#This Row],[Taxable Amount]],0))</f>
        <v>#VALUE!</v>
      </c>
      <c r="S10" s="21" t="e">
        <f ca="1">IF((Table3[[#This Row],[Taxable Amount]]-Table3[[#This Row],[Salary @ First Rate]])&gt;0,TRUE,FALSE)</f>
        <v>#VALUE!</v>
      </c>
      <c r="T10" s="7" t="e">
        <f ca="1">IF(Table3[[#This Row],[SecondBandTest]],IF(Table3[[#This Row],[ThirdRate??]],IF((Table3[[#This Row],[Taxable Amount]]-Table3[[#This Row],[Salary @ First Rate]])&gt;Table3[[#This Row],[SecondBand]],Table3[[#This Row],[SecondBand]],Table3[[#This Row],[Taxable Amount]]-Table3[[#This Row],[Salary @ First Rate]]),Table3[[#This Row],[Taxable Amount]]-Table3[[#This Row],[Salary @ First Rate]]),0)</f>
        <v>#VALUE!</v>
      </c>
      <c r="U10" s="21" t="e">
        <f ca="1">IF(AND(Table3[[#This Row],[Taxable Amount]]&gt;(Table3[[#This Row],[FirstBand]]+Table3[[#This Row],[SecondBand]]),Table3[[#This Row],[ThirdRate??]]),TRUE,FALSE)</f>
        <v>#VALUE!</v>
      </c>
      <c r="V10" s="7" t="e">
        <f ca="1">IF(Table3[[#This Row],[ThirdBandTest]],Table3[[#This Row],[Taxable Amount]]-(Table3[[#This Row],[FirstBand]]+Table3[[#This Row],[SecondBand]]),0)</f>
        <v>#VALUE!</v>
      </c>
      <c r="W10" s="7" t="e">
        <f ca="1">Table3[[#This Row],[Salary @ First Rate]]*Table3[[#This Row],[FirstRate]]</f>
        <v>#VALUE!</v>
      </c>
      <c r="X10" s="7" t="e">
        <f ca="1">Table3[[#This Row],[Salary @ Second Rate]]*Table3[[#This Row],[SecondRate]]</f>
        <v>#VALUE!</v>
      </c>
      <c r="Y10" s="7" t="e">
        <f ca="1">Table3[[#This Row],[Salary @ Third Rate]]*Table3[[#This Row],[ThirdRate]]</f>
        <v>#VALUE!</v>
      </c>
    </row>
    <row r="11" spans="1:25" x14ac:dyDescent="0.35">
      <c r="A11" s="6">
        <v>6</v>
      </c>
      <c r="B11" s="6">
        <f>VLOOKUP(breakdownfrequency,Table4[[#All],[Frequency]:[Divide]],2,FALSE)</f>
        <v>0</v>
      </c>
      <c r="C11" s="1">
        <f>EOMONTH(DATE(breakdownsalaryyear,Table3[[#This Row],[Count]],1),0)</f>
        <v>182</v>
      </c>
      <c r="D11" s="7">
        <f t="shared" ca="1" si="0"/>
        <v>0</v>
      </c>
      <c r="E11" s="9" t="e">
        <f>personalallowance/Table3[[#This Row],[Divide By]]</f>
        <v>#VALUE!</v>
      </c>
      <c r="F11" s="9" t="e">
        <f>annualspousecode/Table3[[#This Row],[Divide By]]</f>
        <v>#DIV/0!</v>
      </c>
      <c r="G11" s="9" t="e">
        <f>annualchildcode/Table3[[#This Row],[Divide By]]</f>
        <v>#DIV/0!</v>
      </c>
      <c r="H11" s="9" t="e">
        <f>rrspamt/Table3[[#This Row],[Divide By]]</f>
        <v>#VALUE!</v>
      </c>
      <c r="I11" s="9" t="e">
        <f>annualcharity/Table3[[#This Row],[Divide By]]</f>
        <v>#DIV/0!</v>
      </c>
      <c r="J11" s="10" t="e">
        <f>SUM(Table3[[#This Row],[Personal Allowance]:[Donations]])</f>
        <v>#VALUE!</v>
      </c>
      <c r="K11" s="16" t="e">
        <f>VLOOKUP(Table3[[#This Row],[Month]],taxratetable[#All],2,TRUE)/Table3[[#This Row],[Divide By]]</f>
        <v>#N/A</v>
      </c>
      <c r="L11" s="16" t="e">
        <f>VLOOKUP(Table3[[#This Row],[Month]],taxratetable[#All],3,TRUE)/Table3[[#This Row],[Divide By]]</f>
        <v>#N/A</v>
      </c>
      <c r="M11" s="19" t="e">
        <f>VLOOKUP(Table3[[#This Row],[Month]],taxratetable[#All],4,TRUE)</f>
        <v>#N/A</v>
      </c>
      <c r="N11" s="20" t="e">
        <f>VLOOKUP(Table3[[#This Row],[Month]],taxratetable[#All],5,TRUE)</f>
        <v>#N/A</v>
      </c>
      <c r="O11" s="20" t="e">
        <f>VLOOKUP(Table3[[#This Row],[Month]],taxratetable[#All],6,TRUE)</f>
        <v>#N/A</v>
      </c>
      <c r="P11" s="22" t="e">
        <f>IF(Table3[[#This Row],[ThirdRate]]&gt;0,TRUE,FALSE)</f>
        <v>#N/A</v>
      </c>
      <c r="Q11" s="17" t="e">
        <f ca="1">IF(Table3[[#This Row],[ Salary]]&gt;Table3[[#This Row],[TotalAllowance]],Table3[[#This Row],[ Salary]]-Table3[[#This Row],[TotalAllowance]],0)</f>
        <v>#VALUE!</v>
      </c>
      <c r="R11" s="7" t="e">
        <f ca="1">IF(Table3[[#This Row],[Taxable Amount]]&gt;Table3[[#This Row],[FirstBand]],Table3[[#This Row],[FirstBand]],IF(AND(Table3[[#This Row],[Taxable Amount]]&gt;0,OR(Table3[[#This Row],[Taxable Amount]]&lt;Table3[[#This Row],[FirstBand]],Table3[[#This Row],[Taxable Amount]]=Table3[[#This Row],[FirstBand]])),Table3[[#This Row],[Taxable Amount]],0))</f>
        <v>#VALUE!</v>
      </c>
      <c r="S11" s="21" t="e">
        <f ca="1">IF((Table3[[#This Row],[Taxable Amount]]-Table3[[#This Row],[Salary @ First Rate]])&gt;0,TRUE,FALSE)</f>
        <v>#VALUE!</v>
      </c>
      <c r="T11" s="7" t="e">
        <f ca="1">IF(Table3[[#This Row],[SecondBandTest]],IF(Table3[[#This Row],[ThirdRate??]],IF((Table3[[#This Row],[Taxable Amount]]-Table3[[#This Row],[Salary @ First Rate]])&gt;Table3[[#This Row],[SecondBand]],Table3[[#This Row],[SecondBand]],Table3[[#This Row],[Taxable Amount]]-Table3[[#This Row],[Salary @ First Rate]]),Table3[[#This Row],[Taxable Amount]]-Table3[[#This Row],[Salary @ First Rate]]),0)</f>
        <v>#VALUE!</v>
      </c>
      <c r="U11" s="21" t="e">
        <f ca="1">IF(AND(Table3[[#This Row],[Taxable Amount]]&gt;(Table3[[#This Row],[FirstBand]]+Table3[[#This Row],[SecondBand]]),Table3[[#This Row],[ThirdRate??]]),TRUE,FALSE)</f>
        <v>#VALUE!</v>
      </c>
      <c r="V11" s="7" t="e">
        <f ca="1">IF(Table3[[#This Row],[ThirdBandTest]],Table3[[#This Row],[Taxable Amount]]-(Table3[[#This Row],[FirstBand]]+Table3[[#This Row],[SecondBand]]),0)</f>
        <v>#VALUE!</v>
      </c>
      <c r="W11" s="7" t="e">
        <f ca="1">Table3[[#This Row],[Salary @ First Rate]]*Table3[[#This Row],[FirstRate]]</f>
        <v>#VALUE!</v>
      </c>
      <c r="X11" s="7" t="e">
        <f ca="1">Table3[[#This Row],[Salary @ Second Rate]]*Table3[[#This Row],[SecondRate]]</f>
        <v>#VALUE!</v>
      </c>
      <c r="Y11" s="7" t="e">
        <f ca="1">Table3[[#This Row],[Salary @ Third Rate]]*Table3[[#This Row],[ThirdRate]]</f>
        <v>#VALUE!</v>
      </c>
    </row>
    <row r="12" spans="1:25" x14ac:dyDescent="0.35">
      <c r="A12" s="6">
        <v>7</v>
      </c>
      <c r="B12" s="6">
        <f>VLOOKUP(breakdownfrequency,Table4[[#All],[Frequency]:[Divide]],2,FALSE)</f>
        <v>0</v>
      </c>
      <c r="C12" s="1">
        <f>EOMONTH(DATE(breakdownsalaryyear,Table3[[#This Row],[Count]],1),0)</f>
        <v>213</v>
      </c>
      <c r="D12" s="7">
        <f t="shared" ca="1" si="0"/>
        <v>0</v>
      </c>
      <c r="E12" s="9" t="e">
        <f>personalallowance/Table3[[#This Row],[Divide By]]</f>
        <v>#VALUE!</v>
      </c>
      <c r="F12" s="9" t="e">
        <f>annualspousecode/Table3[[#This Row],[Divide By]]</f>
        <v>#DIV/0!</v>
      </c>
      <c r="G12" s="9" t="e">
        <f>annualchildcode/Table3[[#This Row],[Divide By]]</f>
        <v>#DIV/0!</v>
      </c>
      <c r="H12" s="9" t="e">
        <f>rrspamt/Table3[[#This Row],[Divide By]]</f>
        <v>#VALUE!</v>
      </c>
      <c r="I12" s="9" t="e">
        <f>annualcharity/Table3[[#This Row],[Divide By]]</f>
        <v>#DIV/0!</v>
      </c>
      <c r="J12" s="10" t="e">
        <f>SUM(Table3[[#This Row],[Personal Allowance]:[Donations]])</f>
        <v>#VALUE!</v>
      </c>
      <c r="K12" s="16" t="e">
        <f>VLOOKUP(Table3[[#This Row],[Month]],taxratetable[#All],2,TRUE)/Table3[[#This Row],[Divide By]]</f>
        <v>#N/A</v>
      </c>
      <c r="L12" s="16" t="e">
        <f>VLOOKUP(Table3[[#This Row],[Month]],taxratetable[#All],3,TRUE)/Table3[[#This Row],[Divide By]]</f>
        <v>#N/A</v>
      </c>
      <c r="M12" s="19" t="e">
        <f>VLOOKUP(Table3[[#This Row],[Month]],taxratetable[#All],4,TRUE)</f>
        <v>#N/A</v>
      </c>
      <c r="N12" s="20" t="e">
        <f>VLOOKUP(Table3[[#This Row],[Month]],taxratetable[#All],5,TRUE)</f>
        <v>#N/A</v>
      </c>
      <c r="O12" s="20" t="e">
        <f>VLOOKUP(Table3[[#This Row],[Month]],taxratetable[#All],6,TRUE)</f>
        <v>#N/A</v>
      </c>
      <c r="P12" s="22" t="e">
        <f>IF(Table3[[#This Row],[ThirdRate]]&gt;0,TRUE,FALSE)</f>
        <v>#N/A</v>
      </c>
      <c r="Q12" s="17" t="e">
        <f ca="1">IF(Table3[[#This Row],[ Salary]]&gt;Table3[[#This Row],[TotalAllowance]],Table3[[#This Row],[ Salary]]-Table3[[#This Row],[TotalAllowance]],0)</f>
        <v>#VALUE!</v>
      </c>
      <c r="R12" s="7" t="e">
        <f ca="1">IF(Table3[[#This Row],[Taxable Amount]]&gt;Table3[[#This Row],[FirstBand]],Table3[[#This Row],[FirstBand]],IF(AND(Table3[[#This Row],[Taxable Amount]]&gt;0,OR(Table3[[#This Row],[Taxable Amount]]&lt;Table3[[#This Row],[FirstBand]],Table3[[#This Row],[Taxable Amount]]=Table3[[#This Row],[FirstBand]])),Table3[[#This Row],[Taxable Amount]],0))</f>
        <v>#VALUE!</v>
      </c>
      <c r="S12" s="21" t="e">
        <f ca="1">IF((Table3[[#This Row],[Taxable Amount]]-Table3[[#This Row],[Salary @ First Rate]])&gt;0,TRUE,FALSE)</f>
        <v>#VALUE!</v>
      </c>
      <c r="T12" s="7" t="e">
        <f ca="1">IF(Table3[[#This Row],[SecondBandTest]],IF(Table3[[#This Row],[ThirdRate??]],IF((Table3[[#This Row],[Taxable Amount]]-Table3[[#This Row],[Salary @ First Rate]])&gt;Table3[[#This Row],[SecondBand]],Table3[[#This Row],[SecondBand]],Table3[[#This Row],[Taxable Amount]]-Table3[[#This Row],[Salary @ First Rate]]),Table3[[#This Row],[Taxable Amount]]-Table3[[#This Row],[Salary @ First Rate]]),0)</f>
        <v>#VALUE!</v>
      </c>
      <c r="U12" s="21" t="e">
        <f ca="1">IF(AND(Table3[[#This Row],[Taxable Amount]]&gt;(Table3[[#This Row],[FirstBand]]+Table3[[#This Row],[SecondBand]]),Table3[[#This Row],[ThirdRate??]]),TRUE,FALSE)</f>
        <v>#VALUE!</v>
      </c>
      <c r="V12" s="7" t="e">
        <f ca="1">IF(Table3[[#This Row],[ThirdBandTest]],Table3[[#This Row],[Taxable Amount]]-(Table3[[#This Row],[FirstBand]]+Table3[[#This Row],[SecondBand]]),0)</f>
        <v>#VALUE!</v>
      </c>
      <c r="W12" s="7" t="e">
        <f ca="1">Table3[[#This Row],[Salary @ First Rate]]*Table3[[#This Row],[FirstRate]]</f>
        <v>#VALUE!</v>
      </c>
      <c r="X12" s="7" t="e">
        <f ca="1">Table3[[#This Row],[Salary @ Second Rate]]*Table3[[#This Row],[SecondRate]]</f>
        <v>#VALUE!</v>
      </c>
      <c r="Y12" s="7" t="e">
        <f ca="1">Table3[[#This Row],[Salary @ Third Rate]]*Table3[[#This Row],[ThirdRate]]</f>
        <v>#VALUE!</v>
      </c>
    </row>
    <row r="13" spans="1:25" x14ac:dyDescent="0.35">
      <c r="A13" s="6">
        <v>8</v>
      </c>
      <c r="B13" s="6">
        <f>VLOOKUP(breakdownfrequency,Table4[[#All],[Frequency]:[Divide]],2,FALSE)</f>
        <v>0</v>
      </c>
      <c r="C13" s="1">
        <f>EOMONTH(DATE(breakdownsalaryyear,Table3[[#This Row],[Count]],1),0)</f>
        <v>244</v>
      </c>
      <c r="D13" s="7">
        <f t="shared" ca="1" si="0"/>
        <v>0</v>
      </c>
      <c r="E13" s="9" t="e">
        <f>personalallowance/Table3[[#This Row],[Divide By]]</f>
        <v>#VALUE!</v>
      </c>
      <c r="F13" s="9" t="e">
        <f>annualspousecode/Table3[[#This Row],[Divide By]]</f>
        <v>#DIV/0!</v>
      </c>
      <c r="G13" s="9" t="e">
        <f>annualchildcode/Table3[[#This Row],[Divide By]]</f>
        <v>#DIV/0!</v>
      </c>
      <c r="H13" s="9" t="e">
        <f>rrspamt/Table3[[#This Row],[Divide By]]</f>
        <v>#VALUE!</v>
      </c>
      <c r="I13" s="9" t="e">
        <f>annualcharity/Table3[[#This Row],[Divide By]]</f>
        <v>#DIV/0!</v>
      </c>
      <c r="J13" s="10" t="e">
        <f>SUM(Table3[[#This Row],[Personal Allowance]:[Donations]])</f>
        <v>#VALUE!</v>
      </c>
      <c r="K13" s="16" t="e">
        <f>VLOOKUP(Table3[[#This Row],[Month]],taxratetable[#All],2,TRUE)/Table3[[#This Row],[Divide By]]</f>
        <v>#N/A</v>
      </c>
      <c r="L13" s="16" t="e">
        <f>VLOOKUP(Table3[[#This Row],[Month]],taxratetable[#All],3,TRUE)/Table3[[#This Row],[Divide By]]</f>
        <v>#N/A</v>
      </c>
      <c r="M13" s="19" t="e">
        <f>VLOOKUP(Table3[[#This Row],[Month]],taxratetable[#All],4,TRUE)</f>
        <v>#N/A</v>
      </c>
      <c r="N13" s="20" t="e">
        <f>VLOOKUP(Table3[[#This Row],[Month]],taxratetable[#All],5,TRUE)</f>
        <v>#N/A</v>
      </c>
      <c r="O13" s="20" t="e">
        <f>VLOOKUP(Table3[[#This Row],[Month]],taxratetable[#All],6,TRUE)</f>
        <v>#N/A</v>
      </c>
      <c r="P13" s="22" t="e">
        <f>IF(Table3[[#This Row],[ThirdRate]]&gt;0,TRUE,FALSE)</f>
        <v>#N/A</v>
      </c>
      <c r="Q13" s="17" t="e">
        <f ca="1">IF(Table3[[#This Row],[ Salary]]&gt;Table3[[#This Row],[TotalAllowance]],Table3[[#This Row],[ Salary]]-Table3[[#This Row],[TotalAllowance]],0)</f>
        <v>#VALUE!</v>
      </c>
      <c r="R13" s="7" t="e">
        <f ca="1">IF(Table3[[#This Row],[Taxable Amount]]&gt;Table3[[#This Row],[FirstBand]],Table3[[#This Row],[FirstBand]],IF(AND(Table3[[#This Row],[Taxable Amount]]&gt;0,OR(Table3[[#This Row],[Taxable Amount]]&lt;Table3[[#This Row],[FirstBand]],Table3[[#This Row],[Taxable Amount]]=Table3[[#This Row],[FirstBand]])),Table3[[#This Row],[Taxable Amount]],0))</f>
        <v>#VALUE!</v>
      </c>
      <c r="S13" s="21" t="e">
        <f ca="1">IF((Table3[[#This Row],[Taxable Amount]]-Table3[[#This Row],[Salary @ First Rate]])&gt;0,TRUE,FALSE)</f>
        <v>#VALUE!</v>
      </c>
      <c r="T13" s="7" t="e">
        <f ca="1">IF(Table3[[#This Row],[SecondBandTest]],IF(Table3[[#This Row],[ThirdRate??]],IF((Table3[[#This Row],[Taxable Amount]]-Table3[[#This Row],[Salary @ First Rate]])&gt;Table3[[#This Row],[SecondBand]],Table3[[#This Row],[SecondBand]],Table3[[#This Row],[Taxable Amount]]-Table3[[#This Row],[Salary @ First Rate]]),Table3[[#This Row],[Taxable Amount]]-Table3[[#This Row],[Salary @ First Rate]]),0)</f>
        <v>#VALUE!</v>
      </c>
      <c r="U13" s="21" t="e">
        <f ca="1">IF(AND(Table3[[#This Row],[Taxable Amount]]&gt;(Table3[[#This Row],[FirstBand]]+Table3[[#This Row],[SecondBand]]),Table3[[#This Row],[ThirdRate??]]),TRUE,FALSE)</f>
        <v>#VALUE!</v>
      </c>
      <c r="V13" s="7" t="e">
        <f ca="1">IF(Table3[[#This Row],[ThirdBandTest]],Table3[[#This Row],[Taxable Amount]]-(Table3[[#This Row],[FirstBand]]+Table3[[#This Row],[SecondBand]]),0)</f>
        <v>#VALUE!</v>
      </c>
      <c r="W13" s="7" t="e">
        <f ca="1">Table3[[#This Row],[Salary @ First Rate]]*Table3[[#This Row],[FirstRate]]</f>
        <v>#VALUE!</v>
      </c>
      <c r="X13" s="7" t="e">
        <f ca="1">Table3[[#This Row],[Salary @ Second Rate]]*Table3[[#This Row],[SecondRate]]</f>
        <v>#VALUE!</v>
      </c>
      <c r="Y13" s="7" t="e">
        <f ca="1">Table3[[#This Row],[Salary @ Third Rate]]*Table3[[#This Row],[ThirdRate]]</f>
        <v>#VALUE!</v>
      </c>
    </row>
    <row r="14" spans="1:25" x14ac:dyDescent="0.35">
      <c r="A14" s="6">
        <v>9</v>
      </c>
      <c r="B14" s="6">
        <f>VLOOKUP(breakdownfrequency,Table4[[#All],[Frequency]:[Divide]],2,FALSE)</f>
        <v>0</v>
      </c>
      <c r="C14" s="1">
        <f>EOMONTH(DATE(breakdownsalaryyear,Table3[[#This Row],[Count]],1),0)</f>
        <v>274</v>
      </c>
      <c r="D14" s="7">
        <f t="shared" ca="1" si="0"/>
        <v>0</v>
      </c>
      <c r="E14" s="9" t="e">
        <f>personalallowance/Table3[[#This Row],[Divide By]]</f>
        <v>#VALUE!</v>
      </c>
      <c r="F14" s="9" t="e">
        <f>annualspousecode/Table3[[#This Row],[Divide By]]</f>
        <v>#DIV/0!</v>
      </c>
      <c r="G14" s="9" t="e">
        <f>annualchildcode/Table3[[#This Row],[Divide By]]</f>
        <v>#DIV/0!</v>
      </c>
      <c r="H14" s="9" t="e">
        <f>rrspamt/Table3[[#This Row],[Divide By]]</f>
        <v>#VALUE!</v>
      </c>
      <c r="I14" s="9" t="e">
        <f>annualcharity/Table3[[#This Row],[Divide By]]</f>
        <v>#DIV/0!</v>
      </c>
      <c r="J14" s="10" t="e">
        <f>SUM(Table3[[#This Row],[Personal Allowance]:[Donations]])</f>
        <v>#VALUE!</v>
      </c>
      <c r="K14" s="16" t="e">
        <f>VLOOKUP(Table3[[#This Row],[Month]],taxratetable[#All],2,TRUE)/Table3[[#This Row],[Divide By]]</f>
        <v>#N/A</v>
      </c>
      <c r="L14" s="16" t="e">
        <f>VLOOKUP(Table3[[#This Row],[Month]],taxratetable[#All],3,TRUE)/Table3[[#This Row],[Divide By]]</f>
        <v>#N/A</v>
      </c>
      <c r="M14" s="19" t="e">
        <f>VLOOKUP(Table3[[#This Row],[Month]],taxratetable[#All],4,TRUE)</f>
        <v>#N/A</v>
      </c>
      <c r="N14" s="20" t="e">
        <f>VLOOKUP(Table3[[#This Row],[Month]],taxratetable[#All],5,TRUE)</f>
        <v>#N/A</v>
      </c>
      <c r="O14" s="20" t="e">
        <f>VLOOKUP(Table3[[#This Row],[Month]],taxratetable[#All],6,TRUE)</f>
        <v>#N/A</v>
      </c>
      <c r="P14" s="22" t="e">
        <f>IF(Table3[[#This Row],[ThirdRate]]&gt;0,TRUE,FALSE)</f>
        <v>#N/A</v>
      </c>
      <c r="Q14" s="17" t="e">
        <f ca="1">IF(Table3[[#This Row],[ Salary]]&gt;Table3[[#This Row],[TotalAllowance]],Table3[[#This Row],[ Salary]]-Table3[[#This Row],[TotalAllowance]],0)</f>
        <v>#VALUE!</v>
      </c>
      <c r="R14" s="7" t="e">
        <f ca="1">IF(Table3[[#This Row],[Taxable Amount]]&gt;Table3[[#This Row],[FirstBand]],Table3[[#This Row],[FirstBand]],IF(AND(Table3[[#This Row],[Taxable Amount]]&gt;0,OR(Table3[[#This Row],[Taxable Amount]]&lt;Table3[[#This Row],[FirstBand]],Table3[[#This Row],[Taxable Amount]]=Table3[[#This Row],[FirstBand]])),Table3[[#This Row],[Taxable Amount]],0))</f>
        <v>#VALUE!</v>
      </c>
      <c r="S14" s="21" t="e">
        <f ca="1">IF((Table3[[#This Row],[Taxable Amount]]-Table3[[#This Row],[Salary @ First Rate]])&gt;0,TRUE,FALSE)</f>
        <v>#VALUE!</v>
      </c>
      <c r="T14" s="7" t="e">
        <f ca="1">IF(Table3[[#This Row],[SecondBandTest]],IF(Table3[[#This Row],[ThirdRate??]],IF((Table3[[#This Row],[Taxable Amount]]-Table3[[#This Row],[Salary @ First Rate]])&gt;Table3[[#This Row],[SecondBand]],Table3[[#This Row],[SecondBand]],Table3[[#This Row],[Taxable Amount]]-Table3[[#This Row],[Salary @ First Rate]]),Table3[[#This Row],[Taxable Amount]]-Table3[[#This Row],[Salary @ First Rate]]),0)</f>
        <v>#VALUE!</v>
      </c>
      <c r="U14" s="21" t="e">
        <f ca="1">IF(AND(Table3[[#This Row],[Taxable Amount]]&gt;(Table3[[#This Row],[FirstBand]]+Table3[[#This Row],[SecondBand]]),Table3[[#This Row],[ThirdRate??]]),TRUE,FALSE)</f>
        <v>#VALUE!</v>
      </c>
      <c r="V14" s="7" t="e">
        <f ca="1">IF(Table3[[#This Row],[ThirdBandTest]],Table3[[#This Row],[Taxable Amount]]-(Table3[[#This Row],[FirstBand]]+Table3[[#This Row],[SecondBand]]),0)</f>
        <v>#VALUE!</v>
      </c>
      <c r="W14" s="7" t="e">
        <f ca="1">Table3[[#This Row],[Salary @ First Rate]]*Table3[[#This Row],[FirstRate]]</f>
        <v>#VALUE!</v>
      </c>
      <c r="X14" s="7" t="e">
        <f ca="1">Table3[[#This Row],[Salary @ Second Rate]]*Table3[[#This Row],[SecondRate]]</f>
        <v>#VALUE!</v>
      </c>
      <c r="Y14" s="7" t="e">
        <f ca="1">Table3[[#This Row],[Salary @ Third Rate]]*Table3[[#This Row],[ThirdRate]]</f>
        <v>#VALUE!</v>
      </c>
    </row>
    <row r="15" spans="1:25" x14ac:dyDescent="0.35">
      <c r="A15" s="6">
        <v>10</v>
      </c>
      <c r="B15" s="6">
        <f>VLOOKUP(breakdownfrequency,Table4[[#All],[Frequency]:[Divide]],2,FALSE)</f>
        <v>0</v>
      </c>
      <c r="C15" s="1">
        <f>EOMONTH(DATE(breakdownsalaryyear,Table3[[#This Row],[Count]],1),0)</f>
        <v>305</v>
      </c>
      <c r="D15" s="7">
        <f t="shared" ca="1" si="0"/>
        <v>0</v>
      </c>
      <c r="E15" s="9" t="e">
        <f>personalallowance/Table3[[#This Row],[Divide By]]</f>
        <v>#VALUE!</v>
      </c>
      <c r="F15" s="9" t="e">
        <f>annualspousecode/Table3[[#This Row],[Divide By]]</f>
        <v>#DIV/0!</v>
      </c>
      <c r="G15" s="9" t="e">
        <f>annualchildcode/Table3[[#This Row],[Divide By]]</f>
        <v>#DIV/0!</v>
      </c>
      <c r="H15" s="9" t="e">
        <f>rrspamt/Table3[[#This Row],[Divide By]]</f>
        <v>#VALUE!</v>
      </c>
      <c r="I15" s="9" t="e">
        <f>annualcharity/Table3[[#This Row],[Divide By]]</f>
        <v>#DIV/0!</v>
      </c>
      <c r="J15" s="10" t="e">
        <f>SUM(Table3[[#This Row],[Personal Allowance]:[Donations]])</f>
        <v>#VALUE!</v>
      </c>
      <c r="K15" s="16" t="e">
        <f>VLOOKUP(Table3[[#This Row],[Month]],taxratetable[#All],2,TRUE)/Table3[[#This Row],[Divide By]]</f>
        <v>#N/A</v>
      </c>
      <c r="L15" s="16" t="e">
        <f>VLOOKUP(Table3[[#This Row],[Month]],taxratetable[#All],3,TRUE)/Table3[[#This Row],[Divide By]]</f>
        <v>#N/A</v>
      </c>
      <c r="M15" s="19" t="e">
        <f>VLOOKUP(Table3[[#This Row],[Month]],taxratetable[#All],4,TRUE)</f>
        <v>#N/A</v>
      </c>
      <c r="N15" s="20" t="e">
        <f>VLOOKUP(Table3[[#This Row],[Month]],taxratetable[#All],5,TRUE)</f>
        <v>#N/A</v>
      </c>
      <c r="O15" s="20" t="e">
        <f>VLOOKUP(Table3[[#This Row],[Month]],taxratetable[#All],6,TRUE)</f>
        <v>#N/A</v>
      </c>
      <c r="P15" s="22" t="e">
        <f>IF(Table3[[#This Row],[ThirdRate]]&gt;0,TRUE,FALSE)</f>
        <v>#N/A</v>
      </c>
      <c r="Q15" s="17" t="e">
        <f ca="1">IF(Table3[[#This Row],[ Salary]]&gt;Table3[[#This Row],[TotalAllowance]],Table3[[#This Row],[ Salary]]-Table3[[#This Row],[TotalAllowance]],0)</f>
        <v>#VALUE!</v>
      </c>
      <c r="R15" s="7" t="e">
        <f ca="1">IF(Table3[[#This Row],[Taxable Amount]]&gt;Table3[[#This Row],[FirstBand]],Table3[[#This Row],[FirstBand]],IF(AND(Table3[[#This Row],[Taxable Amount]]&gt;0,OR(Table3[[#This Row],[Taxable Amount]]&lt;Table3[[#This Row],[FirstBand]],Table3[[#This Row],[Taxable Amount]]=Table3[[#This Row],[FirstBand]])),Table3[[#This Row],[Taxable Amount]],0))</f>
        <v>#VALUE!</v>
      </c>
      <c r="S15" s="21" t="e">
        <f ca="1">IF((Table3[[#This Row],[Taxable Amount]]-Table3[[#This Row],[Salary @ First Rate]])&gt;0,TRUE,FALSE)</f>
        <v>#VALUE!</v>
      </c>
      <c r="T15" s="7" t="e">
        <f ca="1">IF(Table3[[#This Row],[SecondBandTest]],IF(Table3[[#This Row],[ThirdRate??]],IF((Table3[[#This Row],[Taxable Amount]]-Table3[[#This Row],[Salary @ First Rate]])&gt;Table3[[#This Row],[SecondBand]],Table3[[#This Row],[SecondBand]],Table3[[#This Row],[Taxable Amount]]-Table3[[#This Row],[Salary @ First Rate]]),Table3[[#This Row],[Taxable Amount]]-Table3[[#This Row],[Salary @ First Rate]]),0)</f>
        <v>#VALUE!</v>
      </c>
      <c r="U15" s="21" t="e">
        <f ca="1">IF(AND(Table3[[#This Row],[Taxable Amount]]&gt;(Table3[[#This Row],[FirstBand]]+Table3[[#This Row],[SecondBand]]),Table3[[#This Row],[ThirdRate??]]),TRUE,FALSE)</f>
        <v>#VALUE!</v>
      </c>
      <c r="V15" s="7" t="e">
        <f ca="1">IF(Table3[[#This Row],[ThirdBandTest]],Table3[[#This Row],[Taxable Amount]]-(Table3[[#This Row],[FirstBand]]+Table3[[#This Row],[SecondBand]]),0)</f>
        <v>#VALUE!</v>
      </c>
      <c r="W15" s="7" t="e">
        <f ca="1">Table3[[#This Row],[Salary @ First Rate]]*Table3[[#This Row],[FirstRate]]</f>
        <v>#VALUE!</v>
      </c>
      <c r="X15" s="7" t="e">
        <f ca="1">Table3[[#This Row],[Salary @ Second Rate]]*Table3[[#This Row],[SecondRate]]</f>
        <v>#VALUE!</v>
      </c>
      <c r="Y15" s="7" t="e">
        <f ca="1">Table3[[#This Row],[Salary @ Third Rate]]*Table3[[#This Row],[ThirdRate]]</f>
        <v>#VALUE!</v>
      </c>
    </row>
    <row r="16" spans="1:25" x14ac:dyDescent="0.35">
      <c r="A16" s="6">
        <v>11</v>
      </c>
      <c r="B16" s="6">
        <f>VLOOKUP(breakdownfrequency,Table4[[#All],[Frequency]:[Divide]],2,FALSE)</f>
        <v>0</v>
      </c>
      <c r="C16" s="1">
        <f>EOMONTH(DATE(breakdownsalaryyear,Table3[[#This Row],[Count]],1),0)</f>
        <v>335</v>
      </c>
      <c r="D16" s="7">
        <f t="shared" ca="1" si="0"/>
        <v>0</v>
      </c>
      <c r="E16" s="9" t="e">
        <f>personalallowance/Table3[[#This Row],[Divide By]]</f>
        <v>#VALUE!</v>
      </c>
      <c r="F16" s="9" t="e">
        <f>annualspousecode/Table3[[#This Row],[Divide By]]</f>
        <v>#DIV/0!</v>
      </c>
      <c r="G16" s="9" t="e">
        <f>annualchildcode/Table3[[#This Row],[Divide By]]</f>
        <v>#DIV/0!</v>
      </c>
      <c r="H16" s="9" t="e">
        <f>rrspamt/Table3[[#This Row],[Divide By]]</f>
        <v>#VALUE!</v>
      </c>
      <c r="I16" s="9" t="e">
        <f>annualcharity/Table3[[#This Row],[Divide By]]</f>
        <v>#DIV/0!</v>
      </c>
      <c r="J16" s="10" t="e">
        <f>SUM(Table3[[#This Row],[Personal Allowance]:[Donations]])</f>
        <v>#VALUE!</v>
      </c>
      <c r="K16" s="16" t="e">
        <f>VLOOKUP(Table3[[#This Row],[Month]],taxratetable[#All],2,TRUE)/Table3[[#This Row],[Divide By]]</f>
        <v>#N/A</v>
      </c>
      <c r="L16" s="16" t="e">
        <f>VLOOKUP(Table3[[#This Row],[Month]],taxratetable[#All],3,TRUE)/Table3[[#This Row],[Divide By]]</f>
        <v>#N/A</v>
      </c>
      <c r="M16" s="19" t="e">
        <f>VLOOKUP(Table3[[#This Row],[Month]],taxratetable[#All],4,TRUE)</f>
        <v>#N/A</v>
      </c>
      <c r="N16" s="20" t="e">
        <f>VLOOKUP(Table3[[#This Row],[Month]],taxratetable[#All],5,TRUE)</f>
        <v>#N/A</v>
      </c>
      <c r="O16" s="20" t="e">
        <f>VLOOKUP(Table3[[#This Row],[Month]],taxratetable[#All],6,TRUE)</f>
        <v>#N/A</v>
      </c>
      <c r="P16" s="22" t="e">
        <f>IF(Table3[[#This Row],[ThirdRate]]&gt;0,TRUE,FALSE)</f>
        <v>#N/A</v>
      </c>
      <c r="Q16" s="17" t="e">
        <f ca="1">IF(Table3[[#This Row],[ Salary]]&gt;Table3[[#This Row],[TotalAllowance]],Table3[[#This Row],[ Salary]]-Table3[[#This Row],[TotalAllowance]],0)</f>
        <v>#VALUE!</v>
      </c>
      <c r="R16" s="7" t="e">
        <f ca="1">IF(Table3[[#This Row],[Taxable Amount]]&gt;Table3[[#This Row],[FirstBand]],Table3[[#This Row],[FirstBand]],IF(AND(Table3[[#This Row],[Taxable Amount]]&gt;0,OR(Table3[[#This Row],[Taxable Amount]]&lt;Table3[[#This Row],[FirstBand]],Table3[[#This Row],[Taxable Amount]]=Table3[[#This Row],[FirstBand]])),Table3[[#This Row],[Taxable Amount]],0))</f>
        <v>#VALUE!</v>
      </c>
      <c r="S16" s="21" t="e">
        <f ca="1">IF((Table3[[#This Row],[Taxable Amount]]-Table3[[#This Row],[Salary @ First Rate]])&gt;0,TRUE,FALSE)</f>
        <v>#VALUE!</v>
      </c>
      <c r="T16" s="7" t="e">
        <f ca="1">IF(Table3[[#This Row],[SecondBandTest]],IF(Table3[[#This Row],[ThirdRate??]],IF((Table3[[#This Row],[Taxable Amount]]-Table3[[#This Row],[Salary @ First Rate]])&gt;Table3[[#This Row],[SecondBand]],Table3[[#This Row],[SecondBand]],Table3[[#This Row],[Taxable Amount]]-Table3[[#This Row],[Salary @ First Rate]]),Table3[[#This Row],[Taxable Amount]]-Table3[[#This Row],[Salary @ First Rate]]),0)</f>
        <v>#VALUE!</v>
      </c>
      <c r="U16" s="21" t="e">
        <f ca="1">IF(AND(Table3[[#This Row],[Taxable Amount]]&gt;(Table3[[#This Row],[FirstBand]]+Table3[[#This Row],[SecondBand]]),Table3[[#This Row],[ThirdRate??]]),TRUE,FALSE)</f>
        <v>#VALUE!</v>
      </c>
      <c r="V16" s="7" t="e">
        <f ca="1">IF(Table3[[#This Row],[ThirdBandTest]],Table3[[#This Row],[Taxable Amount]]-(Table3[[#This Row],[FirstBand]]+Table3[[#This Row],[SecondBand]]),0)</f>
        <v>#VALUE!</v>
      </c>
      <c r="W16" s="7" t="e">
        <f ca="1">Table3[[#This Row],[Salary @ First Rate]]*Table3[[#This Row],[FirstRate]]</f>
        <v>#VALUE!</v>
      </c>
      <c r="X16" s="7" t="e">
        <f ca="1">Table3[[#This Row],[Salary @ Second Rate]]*Table3[[#This Row],[SecondRate]]</f>
        <v>#VALUE!</v>
      </c>
      <c r="Y16" s="7" t="e">
        <f ca="1">Table3[[#This Row],[Salary @ Third Rate]]*Table3[[#This Row],[ThirdRate]]</f>
        <v>#VALUE!</v>
      </c>
    </row>
    <row r="17" spans="1:25" x14ac:dyDescent="0.35">
      <c r="A17" s="6">
        <v>12</v>
      </c>
      <c r="B17" s="6">
        <f>VLOOKUP(breakdownfrequency,Table4[[#All],[Frequency]:[Divide]],2,FALSE)</f>
        <v>0</v>
      </c>
      <c r="C17" s="1">
        <f>EOMONTH(DATE(breakdownsalaryyear,Table3[[#This Row],[Count]],1),0)</f>
        <v>366</v>
      </c>
      <c r="D17" s="7">
        <f t="shared" ca="1" si="0"/>
        <v>0</v>
      </c>
      <c r="E17" s="9" t="e">
        <f>personalallowance/Table3[[#This Row],[Divide By]]</f>
        <v>#VALUE!</v>
      </c>
      <c r="F17" s="9" t="e">
        <f>annualspousecode/Table3[[#This Row],[Divide By]]</f>
        <v>#DIV/0!</v>
      </c>
      <c r="G17" s="9" t="e">
        <f>annualchildcode/Table3[[#This Row],[Divide By]]</f>
        <v>#DIV/0!</v>
      </c>
      <c r="H17" s="9" t="e">
        <f>rrspamt/Table3[[#This Row],[Divide By]]</f>
        <v>#VALUE!</v>
      </c>
      <c r="I17" s="9" t="e">
        <f>annualcharity/Table3[[#This Row],[Divide By]]</f>
        <v>#DIV/0!</v>
      </c>
      <c r="J17" s="10" t="e">
        <f>SUM(Table3[[#This Row],[Personal Allowance]:[Donations]])</f>
        <v>#VALUE!</v>
      </c>
      <c r="K17" s="16" t="e">
        <f>VLOOKUP(Table3[[#This Row],[Month]],taxratetable[#All],2,TRUE)/Table3[[#This Row],[Divide By]]</f>
        <v>#N/A</v>
      </c>
      <c r="L17" s="16" t="e">
        <f>VLOOKUP(Table3[[#This Row],[Month]],taxratetable[#All],3,TRUE)/Table3[[#This Row],[Divide By]]</f>
        <v>#N/A</v>
      </c>
      <c r="M17" s="19" t="e">
        <f>VLOOKUP(Table3[[#This Row],[Month]],taxratetable[#All],4,TRUE)</f>
        <v>#N/A</v>
      </c>
      <c r="N17" s="20" t="e">
        <f>VLOOKUP(Table3[[#This Row],[Month]],taxratetable[#All],5,TRUE)</f>
        <v>#N/A</v>
      </c>
      <c r="O17" s="20" t="e">
        <f>VLOOKUP(Table3[[#This Row],[Month]],taxratetable[#All],6,TRUE)</f>
        <v>#N/A</v>
      </c>
      <c r="P17" s="22" t="e">
        <f>IF(Table3[[#This Row],[ThirdRate]]&gt;0,TRUE,FALSE)</f>
        <v>#N/A</v>
      </c>
      <c r="Q17" s="17" t="e">
        <f ca="1">IF(Table3[[#This Row],[ Salary]]&gt;Table3[[#This Row],[TotalAllowance]],Table3[[#This Row],[ Salary]]-Table3[[#This Row],[TotalAllowance]],0)</f>
        <v>#VALUE!</v>
      </c>
      <c r="R17" s="7" t="e">
        <f ca="1">IF(Table3[[#This Row],[Taxable Amount]]&gt;Table3[[#This Row],[FirstBand]],Table3[[#This Row],[FirstBand]],IF(AND(Table3[[#This Row],[Taxable Amount]]&gt;0,OR(Table3[[#This Row],[Taxable Amount]]&lt;Table3[[#This Row],[FirstBand]],Table3[[#This Row],[Taxable Amount]]=Table3[[#This Row],[FirstBand]])),Table3[[#This Row],[Taxable Amount]],0))</f>
        <v>#VALUE!</v>
      </c>
      <c r="S17" s="21" t="e">
        <f ca="1">IF((Table3[[#This Row],[Taxable Amount]]-Table3[[#This Row],[Salary @ First Rate]])&gt;0,TRUE,FALSE)</f>
        <v>#VALUE!</v>
      </c>
      <c r="T17" s="7" t="e">
        <f ca="1">IF(Table3[[#This Row],[SecondBandTest]],IF(Table3[[#This Row],[ThirdRate??]],IF((Table3[[#This Row],[Taxable Amount]]-Table3[[#This Row],[Salary @ First Rate]])&gt;Table3[[#This Row],[SecondBand]],Table3[[#This Row],[SecondBand]],Table3[[#This Row],[Taxable Amount]]-Table3[[#This Row],[Salary @ First Rate]]),Table3[[#This Row],[Taxable Amount]]-Table3[[#This Row],[Salary @ First Rate]]),0)</f>
        <v>#VALUE!</v>
      </c>
      <c r="U17" s="21" t="e">
        <f ca="1">IF(AND(Table3[[#This Row],[Taxable Amount]]&gt;(Table3[[#This Row],[FirstBand]]+Table3[[#This Row],[SecondBand]]),Table3[[#This Row],[ThirdRate??]]),TRUE,FALSE)</f>
        <v>#VALUE!</v>
      </c>
      <c r="V17" s="7" t="e">
        <f ca="1">IF(Table3[[#This Row],[ThirdBandTest]],Table3[[#This Row],[Taxable Amount]]-(Table3[[#This Row],[FirstBand]]+Table3[[#This Row],[SecondBand]]),0)</f>
        <v>#VALUE!</v>
      </c>
      <c r="W17" s="7" t="e">
        <f ca="1">Table3[[#This Row],[Salary @ First Rate]]*Table3[[#This Row],[FirstRate]]</f>
        <v>#VALUE!</v>
      </c>
      <c r="X17" s="7" t="e">
        <f ca="1">Table3[[#This Row],[Salary @ Second Rate]]*Table3[[#This Row],[SecondRate]]</f>
        <v>#VALUE!</v>
      </c>
      <c r="Y17" s="7" t="e">
        <f ca="1">Table3[[#This Row],[Salary @ Third Rate]]*Table3[[#This Row],[ThirdRate]]</f>
        <v>#VALUE!</v>
      </c>
    </row>
    <row r="18" spans="1:25" x14ac:dyDescent="0.35">
      <c r="A18" t="s">
        <v>71</v>
      </c>
      <c r="B18" s="6"/>
      <c r="D18" s="8">
        <f ca="1">SUBTOTAL(109,Table3[[ Salary]])</f>
        <v>0</v>
      </c>
      <c r="E18" s="12" t="e">
        <f>SUBTOTAL(109,Table3[Personal Allowance])</f>
        <v>#VALUE!</v>
      </c>
      <c r="F18" s="14" t="e">
        <f>SUBTOTAL(109,Table3[SpouseAllowance])</f>
        <v>#DIV/0!</v>
      </c>
      <c r="G18" s="14" t="e">
        <f>SUBTOTAL(109,Table3[ChildAllowance])</f>
        <v>#DIV/0!</v>
      </c>
      <c r="H18" s="14" t="e">
        <f>SUBTOTAL(109,Table3[RRSP])</f>
        <v>#VALUE!</v>
      </c>
      <c r="I18" s="14" t="e">
        <f>SUBTOTAL(109,Table3[Donations])</f>
        <v>#DIV/0!</v>
      </c>
      <c r="J18" s="13" t="e">
        <f>SUBTOTAL(109,Table3[TotalAllowance])</f>
        <v>#VALUE!</v>
      </c>
      <c r="K18" s="8" t="e">
        <f>SUBTOTAL(109,Table3[FirstBand])</f>
        <v>#N/A</v>
      </c>
      <c r="L18" s="8" t="e">
        <f>SUBTOTAL(109,Table3[SecondBand])</f>
        <v>#N/A</v>
      </c>
      <c r="M18" s="11"/>
      <c r="Q18" s="18" t="e">
        <f ca="1">SUBTOTAL(109,Table3[Taxable Amount])</f>
        <v>#VALUE!</v>
      </c>
      <c r="R18" s="8" t="e">
        <f ca="1">SUBTOTAL(109,Table3[Salary @ First Rate])</f>
        <v>#VALUE!</v>
      </c>
      <c r="S18" s="8"/>
      <c r="T18" s="8" t="e">
        <f ca="1">SUBTOTAL(109,Table3[Salary @ Second Rate])</f>
        <v>#VALUE!</v>
      </c>
      <c r="V18" s="8" t="e">
        <f ca="1">SUBTOTAL(109,Table3[Salary @ Third Rate])</f>
        <v>#VALUE!</v>
      </c>
      <c r="W18" s="8" t="e">
        <f ca="1">SUBTOTAL(109,Table3[Tax FirstRate])</f>
        <v>#VALUE!</v>
      </c>
      <c r="X18" s="8" t="e">
        <f ca="1">SUBTOTAL(109,Table3[Tax SecondRate])</f>
        <v>#VALUE!</v>
      </c>
      <c r="Y18" s="8" t="e">
        <f ca="1">SUBTOTAL(109,Table3[Tax ThirdRate])</f>
        <v>#VALUE!</v>
      </c>
    </row>
    <row r="21" spans="1:25" x14ac:dyDescent="0.35">
      <c r="M21" s="97"/>
      <c r="N21" s="97"/>
      <c r="O21" s="97"/>
    </row>
    <row r="24" spans="1:25" x14ac:dyDescent="0.35">
      <c r="T24" s="8"/>
    </row>
    <row r="35" spans="8:8" x14ac:dyDescent="0.35">
      <c r="H35" s="8"/>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P36"/>
  <sheetViews>
    <sheetView workbookViewId="0">
      <pane ySplit="3" topLeftCell="A4" activePane="bottomLeft" state="frozen"/>
      <selection activeCell="S15" sqref="S15"/>
      <selection pane="bottomLeft" activeCell="C9" sqref="C9"/>
    </sheetView>
  </sheetViews>
  <sheetFormatPr defaultRowHeight="14.5" x14ac:dyDescent="0.35"/>
  <cols>
    <col min="1" max="1" width="12.1796875" bestFit="1" customWidth="1"/>
    <col min="2" max="2" width="11.453125" customWidth="1"/>
    <col min="3" max="3" width="14" customWidth="1"/>
    <col min="4" max="4" width="11" customWidth="1"/>
    <col min="5" max="5" width="13.54296875" customWidth="1"/>
    <col min="6" max="6" width="11.7265625" customWidth="1"/>
    <col min="7" max="7" width="11.26953125" bestFit="1" customWidth="1"/>
    <col min="8" max="9" width="10.26953125" bestFit="1" customWidth="1"/>
    <col min="10" max="10" width="12.1796875" customWidth="1"/>
    <col min="11" max="11" width="11.26953125" bestFit="1" customWidth="1"/>
    <col min="12" max="12" width="13.54296875" customWidth="1"/>
    <col min="13" max="13" width="18.453125" bestFit="1" customWidth="1"/>
    <col min="14" max="14" width="16.54296875" bestFit="1" customWidth="1"/>
    <col min="15" max="15" width="12.453125" bestFit="1" customWidth="1"/>
    <col min="16" max="16" width="14.7265625" bestFit="1" customWidth="1"/>
  </cols>
  <sheetData>
    <row r="2" spans="1:16" x14ac:dyDescent="0.35">
      <c r="B2" s="146" t="s">
        <v>0</v>
      </c>
      <c r="C2" s="146"/>
      <c r="D2" s="146" t="s">
        <v>1</v>
      </c>
      <c r="E2" s="146"/>
      <c r="F2" s="146"/>
      <c r="G2" s="146" t="s">
        <v>2</v>
      </c>
      <c r="H2" s="146"/>
      <c r="I2" s="146"/>
      <c r="J2" s="146"/>
      <c r="K2" s="146"/>
      <c r="L2" s="146" t="s">
        <v>3</v>
      </c>
      <c r="M2" s="146"/>
    </row>
    <row r="3" spans="1:16" x14ac:dyDescent="0.35">
      <c r="A3" t="s">
        <v>4</v>
      </c>
      <c r="B3" t="s">
        <v>5</v>
      </c>
      <c r="C3" t="s">
        <v>6</v>
      </c>
      <c r="D3" t="s">
        <v>7</v>
      </c>
      <c r="E3" t="s">
        <v>8</v>
      </c>
      <c r="F3" t="s">
        <v>9</v>
      </c>
      <c r="G3" t="s">
        <v>10</v>
      </c>
      <c r="H3" t="s">
        <v>11</v>
      </c>
      <c r="I3" t="s">
        <v>12</v>
      </c>
      <c r="J3" t="s">
        <v>13</v>
      </c>
      <c r="K3" t="s">
        <v>14</v>
      </c>
      <c r="L3" t="s">
        <v>15</v>
      </c>
      <c r="M3" t="s">
        <v>57</v>
      </c>
      <c r="N3" t="s">
        <v>78</v>
      </c>
      <c r="O3" t="s">
        <v>55</v>
      </c>
      <c r="P3" t="s">
        <v>58</v>
      </c>
    </row>
    <row r="4" spans="1:16" x14ac:dyDescent="0.35">
      <c r="A4" s="1">
        <v>41275</v>
      </c>
      <c r="B4" s="2">
        <v>35000</v>
      </c>
      <c r="C4" s="2"/>
      <c r="D4" s="27">
        <v>0.17499999999999999</v>
      </c>
      <c r="E4" s="27">
        <v>0.35</v>
      </c>
      <c r="F4" s="27"/>
      <c r="G4" s="2">
        <v>25000</v>
      </c>
      <c r="H4" s="2">
        <v>3000</v>
      </c>
      <c r="I4" s="2">
        <v>1000</v>
      </c>
      <c r="J4" s="2">
        <v>40000</v>
      </c>
      <c r="K4" s="2">
        <v>10000</v>
      </c>
      <c r="L4" s="27">
        <v>0</v>
      </c>
      <c r="M4" s="27">
        <v>0.1</v>
      </c>
      <c r="N4" s="27">
        <v>0.05</v>
      </c>
      <c r="O4" s="2">
        <v>4200</v>
      </c>
      <c r="P4" s="2">
        <v>48000</v>
      </c>
    </row>
    <row r="5" spans="1:16" x14ac:dyDescent="0.35">
      <c r="A5" s="1">
        <v>41639</v>
      </c>
      <c r="B5" s="2">
        <v>35000</v>
      </c>
      <c r="C5" s="2"/>
      <c r="D5" s="27">
        <v>0.17499999999999999</v>
      </c>
      <c r="E5" s="27">
        <v>0.35</v>
      </c>
      <c r="F5" s="27"/>
      <c r="G5" s="2">
        <v>25000</v>
      </c>
      <c r="H5" s="2">
        <v>3000</v>
      </c>
      <c r="I5" s="2">
        <v>1000</v>
      </c>
      <c r="J5" s="2">
        <v>40000</v>
      </c>
      <c r="K5" s="2">
        <v>10000</v>
      </c>
      <c r="L5" s="27">
        <v>0</v>
      </c>
      <c r="M5" s="27">
        <v>0.1</v>
      </c>
      <c r="N5" s="27">
        <v>0.05</v>
      </c>
      <c r="O5" s="2">
        <v>4200</v>
      </c>
      <c r="P5" s="2">
        <v>48000</v>
      </c>
    </row>
    <row r="6" spans="1:16" x14ac:dyDescent="0.35">
      <c r="A6" s="1">
        <v>42004</v>
      </c>
      <c r="B6" s="2">
        <v>35000</v>
      </c>
      <c r="C6" s="2"/>
      <c r="D6" s="27">
        <v>0.17499999999999999</v>
      </c>
      <c r="E6" s="27">
        <v>0.35</v>
      </c>
      <c r="F6" s="27"/>
      <c r="G6" s="2">
        <v>25000</v>
      </c>
      <c r="H6" s="2">
        <v>3000</v>
      </c>
      <c r="I6" s="2">
        <v>1000</v>
      </c>
      <c r="J6" s="2">
        <v>40000</v>
      </c>
      <c r="K6" s="2">
        <v>10000</v>
      </c>
      <c r="L6" s="27">
        <v>0</v>
      </c>
      <c r="M6" s="27">
        <v>0.1</v>
      </c>
      <c r="N6" s="27">
        <v>0.05</v>
      </c>
      <c r="O6" s="2">
        <v>4200</v>
      </c>
      <c r="P6" s="2">
        <v>48000</v>
      </c>
    </row>
    <row r="7" spans="1:16" x14ac:dyDescent="0.35">
      <c r="A7" s="77">
        <v>42035</v>
      </c>
      <c r="B7" s="2">
        <v>35000</v>
      </c>
      <c r="C7" s="2"/>
      <c r="D7" s="27">
        <v>0.16</v>
      </c>
      <c r="E7" s="27">
        <v>0.33500000000000002</v>
      </c>
      <c r="F7" s="27"/>
      <c r="G7" s="2">
        <v>25000</v>
      </c>
      <c r="H7" s="2">
        <v>3000</v>
      </c>
      <c r="I7" s="2">
        <v>1000</v>
      </c>
      <c r="J7" s="2">
        <v>40000</v>
      </c>
      <c r="K7" s="2">
        <v>0</v>
      </c>
      <c r="L7" s="27">
        <v>0</v>
      </c>
      <c r="M7" s="27">
        <v>0.1</v>
      </c>
      <c r="N7" s="27">
        <v>0.05</v>
      </c>
      <c r="O7" s="2">
        <v>4200</v>
      </c>
      <c r="P7" s="2">
        <v>48000</v>
      </c>
    </row>
    <row r="8" spans="1:16" x14ac:dyDescent="0.35">
      <c r="A8" s="77">
        <v>42369</v>
      </c>
      <c r="B8" s="2">
        <v>35000</v>
      </c>
      <c r="C8" s="2"/>
      <c r="D8" s="27">
        <v>0.16</v>
      </c>
      <c r="E8" s="27">
        <v>0.33500000000000002</v>
      </c>
      <c r="F8" s="27"/>
      <c r="G8" s="2">
        <v>25000</v>
      </c>
      <c r="H8" s="2">
        <v>3000</v>
      </c>
      <c r="I8" s="2">
        <v>1000</v>
      </c>
      <c r="J8" s="2">
        <v>40000</v>
      </c>
      <c r="K8" s="2">
        <v>0</v>
      </c>
      <c r="L8" s="27">
        <v>0</v>
      </c>
      <c r="M8" s="27">
        <v>0.1</v>
      </c>
      <c r="N8" s="27">
        <v>0.05</v>
      </c>
      <c r="O8" s="2">
        <v>4200</v>
      </c>
      <c r="P8" s="2">
        <v>48000</v>
      </c>
    </row>
    <row r="9" spans="1:16" x14ac:dyDescent="0.35">
      <c r="A9" s="1">
        <v>42735</v>
      </c>
      <c r="B9" s="2">
        <v>35000</v>
      </c>
      <c r="C9" s="2"/>
      <c r="D9" s="27">
        <v>0.16</v>
      </c>
      <c r="E9" s="27">
        <v>0.33500000000000002</v>
      </c>
      <c r="F9" s="27"/>
      <c r="G9" s="2">
        <v>25000</v>
      </c>
      <c r="H9" s="2">
        <v>3000</v>
      </c>
      <c r="I9" s="2">
        <v>1000</v>
      </c>
      <c r="J9" s="2">
        <v>40000</v>
      </c>
      <c r="K9" s="2">
        <v>0</v>
      </c>
      <c r="L9" s="27">
        <v>0</v>
      </c>
      <c r="M9" s="27">
        <v>0.1</v>
      </c>
      <c r="N9" s="27">
        <v>0.05</v>
      </c>
      <c r="O9" s="2">
        <v>4200</v>
      </c>
      <c r="P9" s="2">
        <v>48000</v>
      </c>
    </row>
    <row r="10" spans="1:16" x14ac:dyDescent="0.35">
      <c r="A10" s="1">
        <v>43100</v>
      </c>
      <c r="B10" s="2">
        <v>35000</v>
      </c>
      <c r="C10" s="2"/>
      <c r="D10" s="27">
        <v>0.16</v>
      </c>
      <c r="E10" s="27">
        <v>0.33500000000000002</v>
      </c>
      <c r="F10" s="27"/>
      <c r="G10" s="2">
        <v>25000</v>
      </c>
      <c r="H10" s="2">
        <v>3000</v>
      </c>
      <c r="I10" s="2">
        <v>1000</v>
      </c>
      <c r="J10" s="2">
        <v>40000</v>
      </c>
      <c r="K10" s="2">
        <v>0</v>
      </c>
      <c r="L10" s="27">
        <v>0</v>
      </c>
      <c r="M10" s="27">
        <v>0.1</v>
      </c>
      <c r="N10" s="27">
        <v>0.05</v>
      </c>
      <c r="O10" s="2">
        <v>4200</v>
      </c>
      <c r="P10" s="2">
        <v>48000</v>
      </c>
    </row>
    <row r="11" spans="1:16" x14ac:dyDescent="0.35">
      <c r="A11" s="1">
        <v>43131</v>
      </c>
      <c r="B11" s="2">
        <v>35000</v>
      </c>
      <c r="C11" s="2"/>
      <c r="D11" s="27">
        <v>0.16</v>
      </c>
      <c r="E11" s="27">
        <v>0.33500000000000002</v>
      </c>
      <c r="F11" s="27"/>
      <c r="G11" s="2">
        <v>25000</v>
      </c>
      <c r="H11" s="2">
        <v>3000</v>
      </c>
      <c r="I11" s="2">
        <v>1000</v>
      </c>
      <c r="J11" s="2">
        <v>40000</v>
      </c>
      <c r="K11" s="2">
        <v>0</v>
      </c>
      <c r="L11" s="27">
        <v>0</v>
      </c>
      <c r="M11" s="27">
        <v>0.1</v>
      </c>
      <c r="N11" s="27">
        <v>0.05</v>
      </c>
      <c r="O11" s="2">
        <v>4200</v>
      </c>
      <c r="P11" s="2">
        <v>48000</v>
      </c>
    </row>
    <row r="12" spans="1:16" x14ac:dyDescent="0.35">
      <c r="A12" s="1">
        <v>43159</v>
      </c>
      <c r="B12" s="2">
        <v>35000</v>
      </c>
      <c r="C12" s="2"/>
      <c r="D12" s="27">
        <v>0.16</v>
      </c>
      <c r="E12" s="27">
        <v>0.33500000000000002</v>
      </c>
      <c r="F12" s="27"/>
      <c r="G12" s="2">
        <v>25000</v>
      </c>
      <c r="H12" s="2">
        <v>3000</v>
      </c>
      <c r="I12" s="2">
        <v>1000</v>
      </c>
      <c r="J12" s="2">
        <v>40000</v>
      </c>
      <c r="K12" s="2">
        <v>0</v>
      </c>
      <c r="L12" s="27">
        <v>0</v>
      </c>
      <c r="M12" s="27">
        <v>0.1</v>
      </c>
      <c r="N12" s="27">
        <v>0.05</v>
      </c>
      <c r="O12" s="2">
        <v>4200</v>
      </c>
      <c r="P12" s="2">
        <v>48000</v>
      </c>
    </row>
    <row r="13" spans="1:16" x14ac:dyDescent="0.35">
      <c r="A13" s="1">
        <v>43190</v>
      </c>
      <c r="B13" s="2">
        <v>35000</v>
      </c>
      <c r="C13" s="2"/>
      <c r="D13" s="27">
        <v>0.16</v>
      </c>
      <c r="E13" s="27">
        <v>0.33500000000000002</v>
      </c>
      <c r="F13" s="27"/>
      <c r="G13" s="2">
        <v>25000</v>
      </c>
      <c r="H13" s="2">
        <v>3000</v>
      </c>
      <c r="I13" s="2">
        <v>1000</v>
      </c>
      <c r="J13" s="2">
        <v>40000</v>
      </c>
      <c r="K13" s="2">
        <v>0</v>
      </c>
      <c r="L13" s="27">
        <v>0</v>
      </c>
      <c r="M13" s="27">
        <v>0.1</v>
      </c>
      <c r="N13" s="27">
        <v>0.05</v>
      </c>
      <c r="O13" s="2">
        <v>4200</v>
      </c>
      <c r="P13" s="2">
        <v>48000</v>
      </c>
    </row>
    <row r="14" spans="1:16" x14ac:dyDescent="0.35">
      <c r="A14" s="1">
        <v>43220</v>
      </c>
      <c r="B14" s="2">
        <v>35000</v>
      </c>
      <c r="C14" s="2"/>
      <c r="D14" s="27">
        <v>0.16</v>
      </c>
      <c r="E14" s="27">
        <v>0.33500000000000002</v>
      </c>
      <c r="F14" s="27"/>
      <c r="G14" s="2">
        <v>25000</v>
      </c>
      <c r="H14" s="2">
        <v>3000</v>
      </c>
      <c r="I14" s="2">
        <v>1000</v>
      </c>
      <c r="J14" s="2">
        <v>40000</v>
      </c>
      <c r="K14" s="2">
        <v>0</v>
      </c>
      <c r="L14" s="27">
        <v>0</v>
      </c>
      <c r="M14" s="27">
        <v>0.1</v>
      </c>
      <c r="N14" s="27">
        <v>0.05</v>
      </c>
      <c r="O14" s="2">
        <v>4200</v>
      </c>
      <c r="P14" s="2">
        <v>48000</v>
      </c>
    </row>
    <row r="15" spans="1:16" x14ac:dyDescent="0.35">
      <c r="A15" s="1">
        <v>43251</v>
      </c>
      <c r="B15" s="2">
        <v>35000</v>
      </c>
      <c r="C15" s="2"/>
      <c r="D15" s="27">
        <v>0.16</v>
      </c>
      <c r="E15" s="27">
        <v>0.33500000000000002</v>
      </c>
      <c r="F15" s="27"/>
      <c r="G15" s="2">
        <v>25000</v>
      </c>
      <c r="H15" s="2">
        <v>3000</v>
      </c>
      <c r="I15" s="2">
        <v>1000</v>
      </c>
      <c r="J15" s="2">
        <v>40000</v>
      </c>
      <c r="K15" s="2">
        <v>0</v>
      </c>
      <c r="L15" s="27">
        <v>0</v>
      </c>
      <c r="M15" s="27">
        <v>0.1</v>
      </c>
      <c r="N15" s="27">
        <v>0.05</v>
      </c>
      <c r="O15" s="2">
        <v>4200</v>
      </c>
      <c r="P15" s="2">
        <v>48000</v>
      </c>
    </row>
    <row r="16" spans="1:16" x14ac:dyDescent="0.35">
      <c r="A16" s="1">
        <v>43281</v>
      </c>
      <c r="B16" s="2">
        <v>35000</v>
      </c>
      <c r="C16" s="2"/>
      <c r="D16" s="27">
        <v>0.16</v>
      </c>
      <c r="E16" s="27">
        <v>0.33500000000000002</v>
      </c>
      <c r="F16" s="27"/>
      <c r="G16" s="2">
        <v>25000</v>
      </c>
      <c r="H16" s="2">
        <v>3000</v>
      </c>
      <c r="I16" s="2">
        <v>1000</v>
      </c>
      <c r="J16" s="2">
        <v>40000</v>
      </c>
      <c r="K16" s="2">
        <v>0</v>
      </c>
      <c r="L16" s="27">
        <v>0</v>
      </c>
      <c r="M16" s="27">
        <v>0.1</v>
      </c>
      <c r="N16" s="27">
        <v>0.05</v>
      </c>
      <c r="O16" s="2">
        <v>4200</v>
      </c>
      <c r="P16" s="2">
        <v>48000</v>
      </c>
    </row>
    <row r="17" spans="1:16" x14ac:dyDescent="0.35">
      <c r="A17" s="1">
        <v>43312</v>
      </c>
      <c r="B17" s="2">
        <v>35000</v>
      </c>
      <c r="C17" s="2"/>
      <c r="D17" s="27">
        <v>0.16</v>
      </c>
      <c r="E17" s="27">
        <v>0.33500000000000002</v>
      </c>
      <c r="F17" s="27"/>
      <c r="G17" s="2">
        <v>25000</v>
      </c>
      <c r="H17" s="2">
        <v>3000</v>
      </c>
      <c r="I17" s="2">
        <v>1000</v>
      </c>
      <c r="J17" s="2">
        <v>40000</v>
      </c>
      <c r="K17" s="2">
        <v>0</v>
      </c>
      <c r="L17" s="27">
        <v>0</v>
      </c>
      <c r="M17" s="27">
        <v>0.1</v>
      </c>
      <c r="N17" s="27">
        <v>0.05</v>
      </c>
      <c r="O17" s="2">
        <v>4200</v>
      </c>
      <c r="P17" s="2">
        <v>48000</v>
      </c>
    </row>
    <row r="18" spans="1:16" x14ac:dyDescent="0.35">
      <c r="A18" s="1">
        <v>43343</v>
      </c>
      <c r="B18" s="2">
        <v>35000</v>
      </c>
      <c r="C18" s="2">
        <v>15000</v>
      </c>
      <c r="D18" s="27">
        <v>0.16</v>
      </c>
      <c r="E18" s="27">
        <v>0.33500000000000002</v>
      </c>
      <c r="F18" s="27">
        <v>0.4</v>
      </c>
      <c r="G18" s="2">
        <v>25000</v>
      </c>
      <c r="H18" s="2">
        <v>3000</v>
      </c>
      <c r="I18" s="2">
        <v>1000</v>
      </c>
      <c r="J18" s="2">
        <v>40000</v>
      </c>
      <c r="K18" s="2">
        <v>0</v>
      </c>
      <c r="L18" s="27">
        <v>0</v>
      </c>
      <c r="M18" s="27">
        <v>0.1</v>
      </c>
      <c r="N18" s="27">
        <v>0.05</v>
      </c>
      <c r="O18" s="2">
        <v>4200</v>
      </c>
      <c r="P18" s="2">
        <v>48000</v>
      </c>
    </row>
    <row r="19" spans="1:16" x14ac:dyDescent="0.35">
      <c r="A19" s="1">
        <v>43373</v>
      </c>
      <c r="B19" s="2">
        <v>35000</v>
      </c>
      <c r="C19" s="2">
        <v>15000</v>
      </c>
      <c r="D19" s="27">
        <v>0.16</v>
      </c>
      <c r="E19" s="27">
        <v>0.33500000000000002</v>
      </c>
      <c r="F19" s="27">
        <v>0.4</v>
      </c>
      <c r="G19" s="2">
        <v>25000</v>
      </c>
      <c r="H19" s="2">
        <v>3000</v>
      </c>
      <c r="I19" s="2">
        <v>1000</v>
      </c>
      <c r="J19" s="2">
        <v>40000</v>
      </c>
      <c r="K19" s="2">
        <v>0</v>
      </c>
      <c r="L19" s="27">
        <v>0</v>
      </c>
      <c r="M19" s="27">
        <v>0.1</v>
      </c>
      <c r="N19" s="27">
        <v>0.05</v>
      </c>
      <c r="O19" s="2">
        <v>4200</v>
      </c>
      <c r="P19" s="2">
        <v>48000</v>
      </c>
    </row>
    <row r="20" spans="1:16" x14ac:dyDescent="0.35">
      <c r="A20" s="1">
        <v>43404</v>
      </c>
      <c r="B20" s="2">
        <v>35000</v>
      </c>
      <c r="C20" s="2">
        <v>15000</v>
      </c>
      <c r="D20" s="27">
        <v>0.16</v>
      </c>
      <c r="E20" s="27">
        <v>0.33500000000000002</v>
      </c>
      <c r="F20" s="27">
        <v>0.4</v>
      </c>
      <c r="G20" s="2">
        <v>25000</v>
      </c>
      <c r="H20" s="2">
        <v>3000</v>
      </c>
      <c r="I20" s="2">
        <v>1000</v>
      </c>
      <c r="J20" s="2">
        <v>40000</v>
      </c>
      <c r="K20" s="2">
        <v>0</v>
      </c>
      <c r="L20" s="27">
        <v>0</v>
      </c>
      <c r="M20" s="27">
        <v>0.1</v>
      </c>
      <c r="N20" s="27">
        <v>0.05</v>
      </c>
      <c r="O20" s="2">
        <v>4200</v>
      </c>
      <c r="P20" s="2">
        <v>48000</v>
      </c>
    </row>
    <row r="21" spans="1:16" x14ac:dyDescent="0.35">
      <c r="A21" s="1">
        <v>43434</v>
      </c>
      <c r="B21" s="2">
        <v>35000</v>
      </c>
      <c r="C21" s="2">
        <v>15000</v>
      </c>
      <c r="D21" s="27">
        <v>0.16</v>
      </c>
      <c r="E21" s="27">
        <v>0.33500000000000002</v>
      </c>
      <c r="F21" s="27">
        <v>0.4</v>
      </c>
      <c r="G21" s="2">
        <v>25000</v>
      </c>
      <c r="H21" s="2">
        <v>3000</v>
      </c>
      <c r="I21" s="2">
        <v>1000</v>
      </c>
      <c r="J21" s="2">
        <v>40000</v>
      </c>
      <c r="K21" s="2">
        <v>0</v>
      </c>
      <c r="L21" s="27">
        <v>0</v>
      </c>
      <c r="M21" s="27">
        <v>0.1</v>
      </c>
      <c r="N21" s="27">
        <v>0.05</v>
      </c>
      <c r="O21" s="2">
        <v>4200</v>
      </c>
      <c r="P21" s="2">
        <v>48000</v>
      </c>
    </row>
    <row r="22" spans="1:16" x14ac:dyDescent="0.35">
      <c r="A22" s="1">
        <v>43465</v>
      </c>
      <c r="B22" s="2">
        <v>35000</v>
      </c>
      <c r="C22" s="2">
        <v>15000</v>
      </c>
      <c r="D22" s="27">
        <v>0.16</v>
      </c>
      <c r="E22" s="27">
        <v>0.33500000000000002</v>
      </c>
      <c r="F22" s="27">
        <v>0.4</v>
      </c>
      <c r="G22" s="2">
        <v>25000</v>
      </c>
      <c r="H22" s="2">
        <v>3000</v>
      </c>
      <c r="I22" s="2">
        <v>1000</v>
      </c>
      <c r="J22" s="2">
        <v>40000</v>
      </c>
      <c r="K22" s="2">
        <v>0</v>
      </c>
      <c r="L22" s="27">
        <v>0</v>
      </c>
      <c r="M22" s="27">
        <v>0.1</v>
      </c>
      <c r="N22" s="27">
        <v>0.05</v>
      </c>
      <c r="O22" s="2">
        <v>4200</v>
      </c>
      <c r="P22" s="2">
        <v>48000</v>
      </c>
    </row>
    <row r="23" spans="1:16" x14ac:dyDescent="0.35">
      <c r="A23" s="1">
        <v>43496</v>
      </c>
      <c r="B23" s="2">
        <v>35000</v>
      </c>
      <c r="C23" s="2">
        <v>15000</v>
      </c>
      <c r="D23" s="27">
        <v>0.16</v>
      </c>
      <c r="E23" s="27">
        <v>0.33500000000000002</v>
      </c>
      <c r="F23" s="27">
        <v>0.4</v>
      </c>
      <c r="G23" s="2">
        <v>25000</v>
      </c>
      <c r="H23" s="2">
        <v>3000</v>
      </c>
      <c r="I23" s="2"/>
      <c r="J23" s="2">
        <v>40000</v>
      </c>
      <c r="K23" s="2">
        <v>0</v>
      </c>
      <c r="L23" s="27">
        <v>0</v>
      </c>
      <c r="M23" s="27">
        <v>0.1</v>
      </c>
      <c r="N23" s="27">
        <v>0.05</v>
      </c>
      <c r="O23" s="2">
        <v>4200</v>
      </c>
      <c r="P23" s="2">
        <v>48000</v>
      </c>
    </row>
    <row r="24" spans="1:16" x14ac:dyDescent="0.35">
      <c r="A24" s="1">
        <v>43524</v>
      </c>
      <c r="B24" s="2">
        <v>35000</v>
      </c>
      <c r="C24" s="2">
        <v>15000</v>
      </c>
      <c r="D24" s="27">
        <v>0.16</v>
      </c>
      <c r="E24" s="27">
        <v>0.33500000000000002</v>
      </c>
      <c r="F24" s="27">
        <v>0.4</v>
      </c>
      <c r="G24" s="2">
        <v>25000</v>
      </c>
      <c r="H24" s="2">
        <v>3000</v>
      </c>
      <c r="I24" s="2"/>
      <c r="J24" s="2">
        <v>40000</v>
      </c>
      <c r="K24" s="2">
        <v>0</v>
      </c>
      <c r="L24" s="27">
        <v>0</v>
      </c>
      <c r="M24" s="27">
        <v>0.1</v>
      </c>
      <c r="N24" s="27">
        <v>0.05</v>
      </c>
      <c r="O24" s="2">
        <v>4200</v>
      </c>
      <c r="P24" s="2">
        <v>48000</v>
      </c>
    </row>
    <row r="25" spans="1:16" x14ac:dyDescent="0.35">
      <c r="A25" s="1">
        <v>43555</v>
      </c>
      <c r="B25" s="2">
        <v>35000</v>
      </c>
      <c r="C25" s="2">
        <v>15000</v>
      </c>
      <c r="D25" s="27">
        <v>0.16</v>
      </c>
      <c r="E25" s="27">
        <v>0.33500000000000002</v>
      </c>
      <c r="F25" s="27">
        <v>0.4</v>
      </c>
      <c r="G25" s="2">
        <v>25000</v>
      </c>
      <c r="H25" s="2">
        <v>3000</v>
      </c>
      <c r="I25" s="2"/>
      <c r="J25" s="2">
        <v>40000</v>
      </c>
      <c r="K25" s="2">
        <v>0</v>
      </c>
      <c r="L25" s="27">
        <v>0</v>
      </c>
      <c r="M25" s="27">
        <v>0.1</v>
      </c>
      <c r="N25" s="27">
        <v>0.05</v>
      </c>
      <c r="O25" s="2">
        <v>4200</v>
      </c>
      <c r="P25" s="2">
        <v>48000</v>
      </c>
    </row>
    <row r="26" spans="1:16" x14ac:dyDescent="0.35">
      <c r="A26" s="1">
        <v>43585</v>
      </c>
      <c r="B26" s="2">
        <v>35000</v>
      </c>
      <c r="C26" s="2">
        <v>15000</v>
      </c>
      <c r="D26" s="27">
        <v>0.16</v>
      </c>
      <c r="E26" s="27">
        <v>0.33500000000000002</v>
      </c>
      <c r="F26" s="27">
        <v>0.4</v>
      </c>
      <c r="G26" s="2">
        <v>25000</v>
      </c>
      <c r="H26" s="2">
        <v>3000</v>
      </c>
      <c r="I26" s="2"/>
      <c r="J26" s="2">
        <v>40000</v>
      </c>
      <c r="K26" s="2">
        <v>0</v>
      </c>
      <c r="L26" s="27">
        <v>0</v>
      </c>
      <c r="M26" s="27">
        <v>0.1</v>
      </c>
      <c r="N26" s="27">
        <v>0.05</v>
      </c>
      <c r="O26" s="2">
        <v>4200</v>
      </c>
      <c r="P26" s="2">
        <v>48000</v>
      </c>
    </row>
    <row r="27" spans="1:16" x14ac:dyDescent="0.35">
      <c r="A27" s="1">
        <v>43616</v>
      </c>
      <c r="B27" s="2">
        <v>35000</v>
      </c>
      <c r="C27" s="2">
        <v>15000</v>
      </c>
      <c r="D27" s="27">
        <v>0.16</v>
      </c>
      <c r="E27" s="27">
        <v>0.33500000000000002</v>
      </c>
      <c r="F27" s="27">
        <v>0.4</v>
      </c>
      <c r="G27" s="2">
        <v>25000</v>
      </c>
      <c r="H27" s="2">
        <v>3000</v>
      </c>
      <c r="I27" s="2"/>
      <c r="J27" s="2">
        <v>40000</v>
      </c>
      <c r="K27" s="2">
        <v>0</v>
      </c>
      <c r="L27" s="27">
        <v>0</v>
      </c>
      <c r="M27" s="27">
        <v>0.1</v>
      </c>
      <c r="N27" s="27">
        <v>0.05</v>
      </c>
      <c r="O27" s="2">
        <v>4200</v>
      </c>
      <c r="P27" s="2">
        <v>48000</v>
      </c>
    </row>
    <row r="28" spans="1:16" x14ac:dyDescent="0.35">
      <c r="A28" s="1">
        <v>43646</v>
      </c>
      <c r="B28" s="2">
        <v>35000</v>
      </c>
      <c r="C28" s="2">
        <v>15000</v>
      </c>
      <c r="D28" s="27">
        <v>0.16</v>
      </c>
      <c r="E28" s="27">
        <v>0.33500000000000002</v>
      </c>
      <c r="F28" s="27">
        <v>0.4</v>
      </c>
      <c r="G28" s="2">
        <v>25000</v>
      </c>
      <c r="H28" s="2">
        <v>3000</v>
      </c>
      <c r="I28" s="2"/>
      <c r="J28" s="2">
        <v>40000</v>
      </c>
      <c r="K28" s="2">
        <v>0</v>
      </c>
      <c r="L28" s="27">
        <v>0</v>
      </c>
      <c r="M28" s="27">
        <v>0.1</v>
      </c>
      <c r="N28" s="27">
        <v>0.05</v>
      </c>
      <c r="O28" s="2">
        <v>4200</v>
      </c>
      <c r="P28" s="2">
        <v>48000</v>
      </c>
    </row>
    <row r="29" spans="1:16" x14ac:dyDescent="0.35">
      <c r="A29" s="1">
        <v>43677</v>
      </c>
      <c r="B29" s="2">
        <v>50000</v>
      </c>
      <c r="C29" s="2"/>
      <c r="D29" s="27">
        <v>0.125</v>
      </c>
      <c r="E29" s="27">
        <v>0.33500000000000002</v>
      </c>
      <c r="F29" s="27"/>
      <c r="G29" s="2">
        <v>25000</v>
      </c>
      <c r="H29" s="2">
        <v>3000</v>
      </c>
      <c r="I29" s="2"/>
      <c r="J29" s="2">
        <v>40000</v>
      </c>
      <c r="K29" s="2">
        <v>0</v>
      </c>
      <c r="L29" s="27">
        <v>0</v>
      </c>
      <c r="M29" s="27">
        <v>0.1</v>
      </c>
      <c r="N29" s="27">
        <v>0.05</v>
      </c>
      <c r="O29" s="2">
        <v>4200</v>
      </c>
      <c r="P29" s="2">
        <v>48000</v>
      </c>
    </row>
    <row r="30" spans="1:16" x14ac:dyDescent="0.35">
      <c r="A30" s="1">
        <v>43708</v>
      </c>
      <c r="B30" s="2">
        <v>50000</v>
      </c>
      <c r="C30" s="2"/>
      <c r="D30" s="27">
        <v>0.125</v>
      </c>
      <c r="E30" s="27">
        <v>0.33500000000000002</v>
      </c>
      <c r="F30" s="27"/>
      <c r="G30" s="2">
        <v>25000</v>
      </c>
      <c r="H30" s="2">
        <v>3000</v>
      </c>
      <c r="I30" s="2"/>
      <c r="J30" s="2">
        <v>40000</v>
      </c>
      <c r="K30" s="2">
        <v>0</v>
      </c>
      <c r="L30" s="27">
        <v>0</v>
      </c>
      <c r="M30" s="27">
        <v>0.1</v>
      </c>
      <c r="N30" s="27">
        <v>0.05</v>
      </c>
      <c r="O30" s="2">
        <v>4200</v>
      </c>
      <c r="P30" s="2">
        <v>48000</v>
      </c>
    </row>
    <row r="31" spans="1:16" x14ac:dyDescent="0.35">
      <c r="A31" s="1">
        <v>43738</v>
      </c>
      <c r="B31" s="2">
        <v>50000</v>
      </c>
      <c r="C31" s="2"/>
      <c r="D31" s="27">
        <v>0.125</v>
      </c>
      <c r="E31" s="27">
        <v>0.33500000000000002</v>
      </c>
      <c r="F31" s="27"/>
      <c r="G31" s="2">
        <v>25000</v>
      </c>
      <c r="H31" s="2">
        <v>3000</v>
      </c>
      <c r="I31" s="2"/>
      <c r="J31" s="2">
        <v>40000</v>
      </c>
      <c r="K31" s="2">
        <v>0</v>
      </c>
      <c r="L31" s="27">
        <v>0</v>
      </c>
      <c r="M31" s="27">
        <v>0.1</v>
      </c>
      <c r="N31" s="27">
        <v>0.05</v>
      </c>
      <c r="O31" s="2">
        <v>4200</v>
      </c>
      <c r="P31" s="2">
        <v>48000</v>
      </c>
    </row>
    <row r="32" spans="1:16" x14ac:dyDescent="0.35">
      <c r="A32" s="1">
        <v>43769</v>
      </c>
      <c r="B32" s="2">
        <v>50000</v>
      </c>
      <c r="C32" s="2"/>
      <c r="D32" s="27">
        <v>0.125</v>
      </c>
      <c r="E32" s="27">
        <v>0.33500000000000002</v>
      </c>
      <c r="F32" s="27"/>
      <c r="G32" s="2">
        <v>25000</v>
      </c>
      <c r="H32" s="2">
        <v>3000</v>
      </c>
      <c r="I32" s="2"/>
      <c r="J32" s="2">
        <v>40000</v>
      </c>
      <c r="K32" s="2">
        <v>0</v>
      </c>
      <c r="L32" s="27">
        <v>0</v>
      </c>
      <c r="M32" s="27">
        <v>0.1</v>
      </c>
      <c r="N32" s="27">
        <v>0.05</v>
      </c>
      <c r="O32" s="2">
        <v>4200</v>
      </c>
      <c r="P32" s="2">
        <v>48000</v>
      </c>
    </row>
    <row r="33" spans="1:16" x14ac:dyDescent="0.35">
      <c r="A33" s="1">
        <v>43799</v>
      </c>
      <c r="B33" s="2">
        <v>50000</v>
      </c>
      <c r="C33" s="2"/>
      <c r="D33" s="27">
        <v>0.125</v>
      </c>
      <c r="E33" s="27">
        <v>0.33500000000000002</v>
      </c>
      <c r="F33" s="27"/>
      <c r="G33" s="2">
        <v>25000</v>
      </c>
      <c r="H33" s="2">
        <v>3000</v>
      </c>
      <c r="I33" s="2"/>
      <c r="J33" s="2">
        <v>40000</v>
      </c>
      <c r="K33" s="2">
        <v>0</v>
      </c>
      <c r="L33" s="27">
        <v>0</v>
      </c>
      <c r="M33" s="27">
        <v>0.1</v>
      </c>
      <c r="N33" s="27">
        <v>0.05</v>
      </c>
      <c r="O33" s="2">
        <v>4200</v>
      </c>
      <c r="P33" s="2">
        <v>48000</v>
      </c>
    </row>
    <row r="34" spans="1:16" x14ac:dyDescent="0.35">
      <c r="A34" s="1">
        <v>43830</v>
      </c>
      <c r="B34" s="2">
        <v>50000</v>
      </c>
      <c r="C34" s="2"/>
      <c r="D34" s="27">
        <v>0.125</v>
      </c>
      <c r="E34" s="27">
        <v>0.33500000000000002</v>
      </c>
      <c r="F34" s="27"/>
      <c r="G34" s="2">
        <v>25000</v>
      </c>
      <c r="H34" s="2">
        <v>3000</v>
      </c>
      <c r="I34" s="2"/>
      <c r="J34" s="2">
        <v>40000</v>
      </c>
      <c r="K34" s="2">
        <v>0</v>
      </c>
      <c r="L34" s="27">
        <v>0</v>
      </c>
      <c r="M34" s="27">
        <v>0.1</v>
      </c>
      <c r="N34" s="27">
        <v>0.05</v>
      </c>
      <c r="O34" s="2">
        <v>4200</v>
      </c>
      <c r="P34" s="2">
        <v>48000</v>
      </c>
    </row>
    <row r="35" spans="1:16" x14ac:dyDescent="0.35">
      <c r="A35" s="1">
        <v>43861</v>
      </c>
      <c r="B35" s="2">
        <v>50000</v>
      </c>
      <c r="C35" s="2"/>
      <c r="D35" s="27">
        <v>0.125</v>
      </c>
      <c r="E35" s="27">
        <v>0.28499999999999998</v>
      </c>
      <c r="F35" s="27"/>
      <c r="G35" s="2">
        <v>25000</v>
      </c>
      <c r="H35" s="2">
        <v>3000</v>
      </c>
      <c r="I35" s="2"/>
      <c r="J35" s="2">
        <v>40000</v>
      </c>
      <c r="K35" s="2">
        <v>0</v>
      </c>
      <c r="L35" s="27">
        <v>0</v>
      </c>
      <c r="M35" s="27">
        <v>0.1</v>
      </c>
      <c r="N35" s="27">
        <v>0.05</v>
      </c>
      <c r="O35" s="2">
        <v>4200</v>
      </c>
      <c r="P35" s="2">
        <v>48000</v>
      </c>
    </row>
    <row r="36" spans="1:16" x14ac:dyDescent="0.35">
      <c r="A36" s="1">
        <v>44196</v>
      </c>
      <c r="B36" s="2">
        <v>50000</v>
      </c>
      <c r="C36" s="2"/>
      <c r="D36" s="27">
        <v>0.125</v>
      </c>
      <c r="E36" s="27">
        <v>0.28499999999999998</v>
      </c>
      <c r="F36" s="27"/>
      <c r="G36" s="2">
        <v>25000</v>
      </c>
      <c r="H36" s="2">
        <v>3000</v>
      </c>
      <c r="I36" s="2"/>
      <c r="J36" s="2">
        <v>40000</v>
      </c>
      <c r="K36" s="2">
        <v>0</v>
      </c>
      <c r="L36" s="27">
        <v>0</v>
      </c>
      <c r="M36" s="27">
        <v>0.1</v>
      </c>
      <c r="N36" s="27">
        <v>0.05</v>
      </c>
      <c r="O36" s="2">
        <v>4200</v>
      </c>
      <c r="P36" s="2">
        <v>48000</v>
      </c>
    </row>
  </sheetData>
  <mergeCells count="4">
    <mergeCell ref="B2:C2"/>
    <mergeCell ref="D2:F2"/>
    <mergeCell ref="L2:M2"/>
    <mergeCell ref="G2:K2"/>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V29"/>
  <sheetViews>
    <sheetView workbookViewId="0">
      <selection activeCell="J34" sqref="J34"/>
    </sheetView>
  </sheetViews>
  <sheetFormatPr defaultRowHeight="14.5" x14ac:dyDescent="0.35"/>
  <cols>
    <col min="2" max="3" width="11" customWidth="1"/>
    <col min="4" max="4" width="11.26953125" customWidth="1"/>
    <col min="22" max="22" width="11.54296875" bestFit="1" customWidth="1"/>
  </cols>
  <sheetData>
    <row r="1" spans="1:22" x14ac:dyDescent="0.35">
      <c r="A1" t="s">
        <v>49</v>
      </c>
      <c r="B1" t="s">
        <v>25</v>
      </c>
      <c r="C1" t="s">
        <v>59</v>
      </c>
      <c r="D1" t="s">
        <v>86</v>
      </c>
      <c r="E1" t="s">
        <v>88</v>
      </c>
      <c r="L1" t="s">
        <v>20</v>
      </c>
      <c r="N1" s="78" t="s">
        <v>100</v>
      </c>
      <c r="O1" s="78" t="s">
        <v>17</v>
      </c>
    </row>
    <row r="2" spans="1:22" x14ac:dyDescent="0.35">
      <c r="A2">
        <v>1</v>
      </c>
      <c r="B2" t="s">
        <v>20</v>
      </c>
      <c r="C2">
        <v>0</v>
      </c>
      <c r="D2">
        <v>0</v>
      </c>
      <c r="L2" t="s">
        <v>49</v>
      </c>
      <c r="N2" s="78">
        <v>1</v>
      </c>
      <c r="O2" s="78" t="s">
        <v>31</v>
      </c>
    </row>
    <row r="3" spans="1:22" x14ac:dyDescent="0.35">
      <c r="A3">
        <v>2</v>
      </c>
      <c r="B3" t="s">
        <v>22</v>
      </c>
      <c r="C3">
        <v>365</v>
      </c>
      <c r="D3">
        <v>365</v>
      </c>
      <c r="E3" t="s">
        <v>105</v>
      </c>
      <c r="L3" t="s">
        <v>54</v>
      </c>
      <c r="N3" s="78">
        <v>2</v>
      </c>
      <c r="O3" s="78" t="s">
        <v>32</v>
      </c>
    </row>
    <row r="4" spans="1:22" x14ac:dyDescent="0.35">
      <c r="A4">
        <v>3</v>
      </c>
      <c r="B4" t="s">
        <v>23</v>
      </c>
      <c r="C4">
        <v>52</v>
      </c>
      <c r="D4">
        <v>52</v>
      </c>
      <c r="E4" t="s">
        <v>89</v>
      </c>
      <c r="N4" s="78">
        <v>3</v>
      </c>
      <c r="O4" s="78" t="s">
        <v>33</v>
      </c>
    </row>
    <row r="5" spans="1:22" x14ac:dyDescent="0.35">
      <c r="A5">
        <v>4</v>
      </c>
      <c r="B5" t="s">
        <v>60</v>
      </c>
      <c r="C5">
        <v>26</v>
      </c>
      <c r="D5">
        <v>26</v>
      </c>
      <c r="E5" t="s">
        <v>90</v>
      </c>
      <c r="N5" s="78">
        <v>4</v>
      </c>
      <c r="O5" s="78" t="s">
        <v>34</v>
      </c>
    </row>
    <row r="6" spans="1:22" x14ac:dyDescent="0.35">
      <c r="A6">
        <v>5</v>
      </c>
      <c r="B6" t="s">
        <v>21</v>
      </c>
      <c r="C6">
        <v>12</v>
      </c>
      <c r="D6">
        <v>12</v>
      </c>
      <c r="E6" t="s">
        <v>90</v>
      </c>
      <c r="N6" s="78">
        <v>5</v>
      </c>
      <c r="O6" s="78" t="s">
        <v>35</v>
      </c>
    </row>
    <row r="7" spans="1:22" x14ac:dyDescent="0.35">
      <c r="A7">
        <v>6</v>
      </c>
      <c r="B7" t="s">
        <v>24</v>
      </c>
      <c r="C7">
        <v>12</v>
      </c>
      <c r="D7">
        <v>1</v>
      </c>
      <c r="E7" t="s">
        <v>90</v>
      </c>
      <c r="N7" s="78">
        <v>6</v>
      </c>
      <c r="O7" s="78" t="s">
        <v>36</v>
      </c>
    </row>
    <row r="8" spans="1:22" x14ac:dyDescent="0.35">
      <c r="N8" s="78">
        <v>7</v>
      </c>
      <c r="O8" s="78" t="s">
        <v>37</v>
      </c>
    </row>
    <row r="9" spans="1:22" x14ac:dyDescent="0.35">
      <c r="N9" s="78">
        <v>8</v>
      </c>
      <c r="O9" s="78" t="s">
        <v>38</v>
      </c>
    </row>
    <row r="10" spans="1:22" x14ac:dyDescent="0.35">
      <c r="N10" s="78">
        <v>9</v>
      </c>
      <c r="O10" s="78" t="s">
        <v>39</v>
      </c>
    </row>
    <row r="11" spans="1:22" x14ac:dyDescent="0.35">
      <c r="N11" s="78">
        <v>10</v>
      </c>
      <c r="O11" s="78" t="s">
        <v>40</v>
      </c>
    </row>
    <row r="12" spans="1:22" x14ac:dyDescent="0.35">
      <c r="N12" s="78">
        <v>11</v>
      </c>
      <c r="O12" s="78" t="s">
        <v>41</v>
      </c>
    </row>
    <row r="13" spans="1:22" x14ac:dyDescent="0.35">
      <c r="N13" s="78">
        <v>12</v>
      </c>
      <c r="O13" s="78" t="s">
        <v>42</v>
      </c>
    </row>
    <row r="16" spans="1:22" x14ac:dyDescent="0.35">
      <c r="V16" s="23"/>
    </row>
    <row r="17" spans="22:22" x14ac:dyDescent="0.35">
      <c r="V17" s="7"/>
    </row>
    <row r="18" spans="22:22" x14ac:dyDescent="0.35">
      <c r="V18" s="7"/>
    </row>
    <row r="19" spans="22:22" x14ac:dyDescent="0.35">
      <c r="V19" s="7"/>
    </row>
    <row r="20" spans="22:22" x14ac:dyDescent="0.35">
      <c r="V20" s="7"/>
    </row>
    <row r="21" spans="22:22" x14ac:dyDescent="0.35">
      <c r="V21" s="7"/>
    </row>
    <row r="22" spans="22:22" x14ac:dyDescent="0.35">
      <c r="V22" s="7"/>
    </row>
    <row r="23" spans="22:22" x14ac:dyDescent="0.35">
      <c r="V23" s="7"/>
    </row>
    <row r="24" spans="22:22" x14ac:dyDescent="0.35">
      <c r="V24" s="7"/>
    </row>
    <row r="25" spans="22:22" x14ac:dyDescent="0.35">
      <c r="V25" s="7"/>
    </row>
    <row r="26" spans="22:22" x14ac:dyDescent="0.35">
      <c r="V26" s="7"/>
    </row>
    <row r="27" spans="22:22" x14ac:dyDescent="0.35">
      <c r="V27" s="7"/>
    </row>
    <row r="28" spans="22:22" x14ac:dyDescent="0.35">
      <c r="V28" s="7"/>
    </row>
    <row r="29" spans="22:22" x14ac:dyDescent="0.35">
      <c r="V29" s="7"/>
    </row>
  </sheetData>
  <pageMargins left="0.7" right="0.7" top="0.75" bottom="0.75" header="0.3" footer="0.3"/>
  <pageSetup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61</vt:i4>
      </vt:variant>
    </vt:vector>
  </HeadingPairs>
  <TitlesOfParts>
    <vt:vector size="67" baseType="lpstr">
      <vt:lpstr>Instructions</vt:lpstr>
      <vt:lpstr>P.A.Y.E. Calculator</vt:lpstr>
      <vt:lpstr>Employee Declaration Form</vt:lpstr>
      <vt:lpstr>Breakdown</vt:lpstr>
      <vt:lpstr>Tax Rate Table</vt:lpstr>
      <vt:lpstr>Additional Tables</vt:lpstr>
      <vt:lpstr>allowchild1</vt:lpstr>
      <vt:lpstr>allowchild2</vt:lpstr>
      <vt:lpstr>allowspouse</vt:lpstr>
      <vt:lpstr>annualcharity</vt:lpstr>
      <vt:lpstr>annualchildallowance1</vt:lpstr>
      <vt:lpstr>annualchildallowance2</vt:lpstr>
      <vt:lpstr>annualchildcode</vt:lpstr>
      <vt:lpstr>annualmaxrrsp</vt:lpstr>
      <vt:lpstr>annualspousecode</vt:lpstr>
      <vt:lpstr>averagefirstrate</vt:lpstr>
      <vt:lpstr>averagesecondrate</vt:lpstr>
      <vt:lpstr>averagethirdrate</vt:lpstr>
      <vt:lpstr>basicsalary</vt:lpstr>
      <vt:lpstr>basicsalarytest</vt:lpstr>
      <vt:lpstr>breakdownfrequency</vt:lpstr>
      <vt:lpstr>breakdownnetincome</vt:lpstr>
      <vt:lpstr>breakdownsalaryyear</vt:lpstr>
      <vt:lpstr>breakdowntax</vt:lpstr>
      <vt:lpstr>caldate</vt:lpstr>
      <vt:lpstr>calmaxyear</vt:lpstr>
      <vt:lpstr>calminyear</vt:lpstr>
      <vt:lpstr>calmonth</vt:lpstr>
      <vt:lpstr>charityamt</vt:lpstr>
      <vt:lpstr>charitydonationrate</vt:lpstr>
      <vt:lpstr>child1</vt:lpstr>
      <vt:lpstr>child2</vt:lpstr>
      <vt:lpstr>childallowance</vt:lpstr>
      <vt:lpstr>childallowanceamt</vt:lpstr>
      <vt:lpstr>divide2</vt:lpstr>
      <vt:lpstr>entertainment</vt:lpstr>
      <vt:lpstr>formatcheck</vt:lpstr>
      <vt:lpstr>freqtest</vt:lpstr>
      <vt:lpstr>grosssalary</vt:lpstr>
      <vt:lpstr>housing</vt:lpstr>
      <vt:lpstr>maxcharity</vt:lpstr>
      <vt:lpstr>maxrrsp</vt:lpstr>
      <vt:lpstr>miscallow</vt:lpstr>
      <vt:lpstr>netincome</vt:lpstr>
      <vt:lpstr>noofchildren</vt:lpstr>
      <vt:lpstr>Instructions!OLE_LINK1</vt:lpstr>
      <vt:lpstr>personalallowance</vt:lpstr>
      <vt:lpstr>personallowancecategory</vt:lpstr>
      <vt:lpstr>'Employee Declaration Form'!Print_Area</vt:lpstr>
      <vt:lpstr>renumeration</vt:lpstr>
      <vt:lpstr>rrsp</vt:lpstr>
      <vt:lpstr>rrspamt</vt:lpstr>
      <vt:lpstr>salarymonth</vt:lpstr>
      <vt:lpstr>salaryyear</vt:lpstr>
      <vt:lpstr>spouseallowance</vt:lpstr>
      <vt:lpstr>spouseallowanceamt</vt:lpstr>
      <vt:lpstr>taxcodetest</vt:lpstr>
      <vt:lpstr>tmonfreq</vt:lpstr>
      <vt:lpstr>todaydate</vt:lpstr>
      <vt:lpstr>totalallowances</vt:lpstr>
      <vt:lpstr>totallowableexpenses</vt:lpstr>
      <vt:lpstr>travelcap</vt:lpstr>
      <vt:lpstr>travelcaprateamt</vt:lpstr>
      <vt:lpstr>travelling</vt:lpstr>
      <vt:lpstr>traveltest</vt:lpstr>
      <vt:lpstr>utilities</vt:lpstr>
      <vt:lpstr>vehicle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2019-07-19T16:55:40Z</dcterms:modified>
</cp:coreProperties>
</file>